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425" activeTab="0"/>
  </bookViews>
  <sheets>
    <sheet name="Explicação" sheetId="1" r:id="rId1"/>
    <sheet name="Registro de dados e movimentos" sheetId="2" r:id="rId2"/>
    <sheet name="Impressão Frente automatico" sheetId="3" r:id="rId3"/>
    <sheet name="Impressão Verso semi-auto" sheetId="4" r:id="rId4"/>
    <sheet name="Mapa Anual" sheetId="5" state="hidden" r:id="rId5"/>
  </sheets>
  <externalReferences>
    <externalReference r:id="rId8"/>
  </externalReferences>
  <definedNames>
    <definedName name="_xlnm.Print_Area" localSheetId="2">'Impressão Frente automatico'!$A$1:$AQ$37</definedName>
    <definedName name="_xlnm.Print_Area" localSheetId="3">'Impressão Verso semi-auto'!$A$1:$Y$47</definedName>
    <definedName name="_xlnm.Print_Area" localSheetId="4">'Mapa Anual'!$A$1:$W$55</definedName>
    <definedName name="Tabela_Anual">'Registro de dados e movimentos'!$A$5:$AH$38</definedName>
    <definedName name="Tabela2">'Registro de dados e movimentos'!$V$40:$AH$68</definedName>
    <definedName name="TRTRTR">'[1]OU Preenchimento para impressão'!$A$4:$AH$37</definedName>
  </definedNames>
  <calcPr fullCalcOnLoad="1"/>
</workbook>
</file>

<file path=xl/sharedStrings.xml><?xml version="1.0" encoding="utf-8"?>
<sst xmlns="http://schemas.openxmlformats.org/spreadsheetml/2006/main" count="277" uniqueCount="196">
  <si>
    <t>Recebido em: ____/____/________</t>
  </si>
  <si>
    <t>10.</t>
  </si>
  <si>
    <t>11.</t>
  </si>
  <si>
    <t>14. Saldo no início do mês (Igual ao Saldo final do mês anterior)</t>
  </si>
  <si>
    <t>15. Total Recebimentos + Saldo início do mês (linha 13 + linha 14)</t>
  </si>
  <si>
    <t>RECEBIMENTOS (Receitas/Arrecadações)</t>
  </si>
  <si>
    <t>21.</t>
  </si>
  <si>
    <t>22.</t>
  </si>
  <si>
    <t>PAGAMENTOS (Despesas/Investimentos Sociais/Repasses)</t>
  </si>
  <si>
    <t xml:space="preserve">Total de Alimentos </t>
  </si>
  <si>
    <t>ANO:</t>
  </si>
  <si>
    <t>Item</t>
  </si>
  <si>
    <t>Mês de Referência</t>
  </si>
  <si>
    <t>Valor R$</t>
  </si>
  <si>
    <t>Nome:</t>
  </si>
  <si>
    <t>Encargo:</t>
  </si>
  <si>
    <t xml:space="preserve">23. </t>
  </si>
  <si>
    <t>Data Fundação:</t>
  </si>
  <si>
    <t>18.</t>
  </si>
  <si>
    <t xml:space="preserve">ANO: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</si>
  <si>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</si>
  <si>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</si>
  <si>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</si>
  <si>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</si>
  <si>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</si>
  <si>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</si>
  <si>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</si>
  <si>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</si>
  <si>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</si>
  <si>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</si>
  <si>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</si>
  <si>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</si>
  <si>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R$</t>
  </si>
  <si>
    <t>Balanço Anual</t>
  </si>
  <si>
    <t xml:space="preserve">18. </t>
  </si>
  <si>
    <t xml:space="preserve">21. </t>
  </si>
  <si>
    <t xml:space="preserve">22. </t>
  </si>
  <si>
    <t>26.</t>
  </si>
  <si>
    <t>23.</t>
  </si>
  <si>
    <t xml:space="preserve">03. </t>
  </si>
  <si>
    <t xml:space="preserve">04.                                                                                                                                                   </t>
  </si>
  <si>
    <t xml:space="preserve">05.                                                 </t>
  </si>
  <si>
    <t xml:space="preserve">06. </t>
  </si>
  <si>
    <t xml:space="preserve">07. </t>
  </si>
  <si>
    <t xml:space="preserve">08. </t>
  </si>
  <si>
    <t>09.</t>
  </si>
  <si>
    <t>01.</t>
  </si>
  <si>
    <t>02.</t>
  </si>
  <si>
    <t>12.</t>
  </si>
  <si>
    <t>13.</t>
  </si>
  <si>
    <t>27.</t>
  </si>
  <si>
    <t>16.</t>
  </si>
  <si>
    <t>17.</t>
  </si>
  <si>
    <t>19.</t>
  </si>
  <si>
    <t>20.</t>
  </si>
  <si>
    <t>24.</t>
  </si>
  <si>
    <t>25.</t>
  </si>
  <si>
    <t>28.</t>
  </si>
  <si>
    <t>29.</t>
  </si>
  <si>
    <t>30.</t>
  </si>
  <si>
    <t>14.</t>
  </si>
  <si>
    <t>15.</t>
  </si>
  <si>
    <t>Receitas Líquidas com Eventos (Rifa, Bazar, almoços etc.)</t>
  </si>
  <si>
    <t>Subvenções Oficiais</t>
  </si>
  <si>
    <t>União Fraternal  (Contribuições Recebidas de Unidades Vicentinas)</t>
  </si>
  <si>
    <t>Recebimentos para Repasses</t>
  </si>
  <si>
    <t>Total dos Recebimentos (Somar da linha 06 a linha 12)</t>
  </si>
  <si>
    <t>Saldo no início do mês (Igual ao Saldo final do mês anterior)</t>
  </si>
  <si>
    <t>Total Recebimentos + Saldo início do mês (linha 13 + linha 14)</t>
  </si>
  <si>
    <t>Repasses Referentes a linha 12</t>
  </si>
  <si>
    <t>Saldo no final do mês (linha 15 - linha 28)</t>
  </si>
  <si>
    <t>Total dos Pagamentos + Saldo Final do mês (Somar linha 28 + linha 29)</t>
  </si>
  <si>
    <t>Data Fundação</t>
  </si>
  <si>
    <t>Código</t>
  </si>
  <si>
    <t>Ano Vigente</t>
  </si>
  <si>
    <t>Resumo Anual</t>
  </si>
  <si>
    <t>Total de Alimentos Doados em Kg</t>
  </si>
  <si>
    <t>XX/YY/ZZ</t>
  </si>
  <si>
    <t>AA-BB-CC-DD</t>
  </si>
  <si>
    <t>Vinculado ao Conselho Central</t>
  </si>
  <si>
    <t>_____________________________________    Presidente ou Tesoureiro do Conselho Central</t>
  </si>
  <si>
    <t>INFORMAÇÕES PARA AS REUNIÕES DO CC</t>
  </si>
  <si>
    <t>Reunião do CC em:</t>
  </si>
  <si>
    <t>TOTAL DAS CONTRIBUIÇÕES AO CC</t>
  </si>
  <si>
    <r>
      <rPr>
        <b/>
        <u val="single"/>
        <sz val="12"/>
        <rFont val="Swis721 LtCn BT"/>
        <family val="0"/>
      </rPr>
      <t xml:space="preserve">Relato das Realizações </t>
    </r>
    <r>
      <rPr>
        <b/>
        <i/>
        <u val="single"/>
        <sz val="9"/>
        <rFont val="Swis721 LtCn BT"/>
        <family val="0"/>
      </rPr>
      <t>(Obras Sociais e Espirituais)</t>
    </r>
    <r>
      <rPr>
        <u val="single"/>
        <sz val="9"/>
        <rFont val="Swis721 LtCn BT"/>
        <family val="0"/>
      </rPr>
      <t xml:space="preserve"> </t>
    </r>
    <r>
      <rPr>
        <b/>
        <u val="single"/>
        <sz val="12"/>
        <rFont val="Swis721 LtCn BT"/>
        <family val="0"/>
      </rPr>
      <t>que mereçam destaque na Ata do CC:</t>
    </r>
  </si>
  <si>
    <t>RESUMO DOS PAGAMENTOS DEVIDOS AO CONSELHO CENTRAL NO MÊS</t>
  </si>
  <si>
    <t>Mês da reunião ordinária</t>
  </si>
  <si>
    <t>Preencher todos os dados de Janeiro, os demais meses não precisam preencher exceto se houverem alterações.</t>
  </si>
  <si>
    <t>REGISTRO FINANCEIRO DA OBRA UNIDA</t>
  </si>
  <si>
    <t>Coletas/Subscritores e Benfeitores/Contribuições</t>
  </si>
  <si>
    <t>Convênios</t>
  </si>
  <si>
    <t>Doações Recebidas e Contribuições dos usuários</t>
  </si>
  <si>
    <t xml:space="preserve">Outras Receitas Sujeitas a Duocentésima e Meia                                                                                                                                                         </t>
  </si>
  <si>
    <t>Despesas Administrativas e de Funcionamento da Obra Unida</t>
  </si>
  <si>
    <t>Despesas com Pessoal e Encargos Sociais</t>
  </si>
  <si>
    <t>Despesas com Água, Energia e Telefone</t>
  </si>
  <si>
    <t>Despesas com alimentação</t>
  </si>
  <si>
    <t>Despesas com Medicamentos e Hospitalares</t>
  </si>
  <si>
    <t>MAPA DO MOVIMENTO MENSAL PARA OBRAS UNIDAS</t>
  </si>
  <si>
    <t>NOME DA OBRA UNIDA:</t>
  </si>
  <si>
    <t>CÓDIGO DA OBRA UNIDA:</t>
  </si>
  <si>
    <t>Número de Pessoas Atendidas:</t>
  </si>
  <si>
    <t>Homens:</t>
  </si>
  <si>
    <t>Mulheres:</t>
  </si>
  <si>
    <t>Faixa Etária:</t>
  </si>
  <si>
    <t xml:space="preserve">Número de Funcionários: </t>
  </si>
  <si>
    <t>Número de Voluntários:</t>
  </si>
  <si>
    <t>Tem Carta de União?</t>
  </si>
  <si>
    <t>Data da União:</t>
  </si>
  <si>
    <t>Atividade:</t>
  </si>
  <si>
    <t>RESUMO DO MOVIMENTO FINANCEIRO MENSAL DA OBRA UNIDA</t>
  </si>
  <si>
    <t>________________________                                Presidente da Obra Unida</t>
  </si>
  <si>
    <t>_________________________     Secretário(a) da Obra Unida</t>
  </si>
  <si>
    <t>________________________ Tesoureiro (a) da Obra Unida</t>
  </si>
  <si>
    <t xml:space="preserve">Subtotal (Valor de cálculo da Duocentésima e Meia) </t>
  </si>
  <si>
    <t>OBRA UNIDA:</t>
  </si>
  <si>
    <t>Número de Beneficiários:</t>
  </si>
  <si>
    <t>Representante da Obra Unida na Reunião do CC:</t>
  </si>
  <si>
    <t>Data da União</t>
  </si>
  <si>
    <t>Tem carta de União?</t>
  </si>
  <si>
    <t>&lt;&lt;&lt; Escrever sim ou não</t>
  </si>
  <si>
    <t>ZZ/YY/XX</t>
  </si>
  <si>
    <t>ATIVIDADE:</t>
  </si>
  <si>
    <t>Homens</t>
  </si>
  <si>
    <t>Mulheres</t>
  </si>
  <si>
    <t>Faixa etária</t>
  </si>
  <si>
    <t>Número de Funcionários</t>
  </si>
  <si>
    <t>Número de voluntários</t>
  </si>
  <si>
    <t>MAPA ESTATÍSTICO ANUAL</t>
  </si>
  <si>
    <t>DT FUNDAÇÃO:</t>
  </si>
  <si>
    <t>DT AGREGAÇÃO OU INSTITUIÇÃO:</t>
  </si>
  <si>
    <t>Tel.:</t>
  </si>
  <si>
    <t>Endereço e E-mail:</t>
  </si>
  <si>
    <t>Nome do Presidente:</t>
  </si>
  <si>
    <t>Telefone:</t>
  </si>
  <si>
    <t>Data Posse:</t>
  </si>
  <si>
    <t>Endereço, data e horário das Reuniões:</t>
  </si>
  <si>
    <t>BALANÇO SOCIAL (Relato de realizações: Obras sócio-assistencias)</t>
  </si>
  <si>
    <t>ESTRUTURA/RECURSOS/ATIVIDADES DE ASSISTÊNCIA SOCIAL REALIZADAS</t>
  </si>
  <si>
    <t>QUANTIDADE - Unid.</t>
  </si>
  <si>
    <t>BENEFICIÁRIOS - Unid</t>
  </si>
  <si>
    <t>1) infra-Estrutura e Força de Trabalho</t>
  </si>
  <si>
    <r>
      <t xml:space="preserve">1.1 - Voluntários </t>
    </r>
    <r>
      <rPr>
        <sz val="8"/>
        <color indexed="8"/>
        <rFont val="Swis721 LtCn BT"/>
        <family val="0"/>
      </rPr>
      <t>(qtd. De vicentinos e vicentinas na Conferência)</t>
    </r>
  </si>
  <si>
    <r>
      <t xml:space="preserve">1.2 - Capacitação do Voluntariado </t>
    </r>
    <r>
      <rPr>
        <b/>
        <sz val="8"/>
        <rFont val="ARIAL BLACK"/>
        <family val="2"/>
      </rPr>
      <t>(Ecafos/encontros de Formação Vicentina)</t>
    </r>
  </si>
  <si>
    <t>1.3 -</t>
  </si>
  <si>
    <t xml:space="preserve">1.4 - </t>
  </si>
  <si>
    <t>1.5</t>
  </si>
  <si>
    <t>1.6</t>
  </si>
  <si>
    <t>2) Assistência Sócio-Assistenciais Mantidas</t>
  </si>
  <si>
    <t>2.1 - Famílias Assistidas e Membros das Famílias assistidas (Qtd. De Famílias e de Benefiários)</t>
  </si>
  <si>
    <r>
      <rPr>
        <b/>
        <sz val="9"/>
        <rFont val="ARIAL BLACK"/>
        <family val="2"/>
      </rPr>
      <t xml:space="preserve">2.2 - Obras Especiais </t>
    </r>
    <r>
      <rPr>
        <b/>
        <sz val="8"/>
        <rFont val="ARIAL BLACK"/>
        <family val="2"/>
      </rPr>
      <t>(Qtd. De Obras Especiais e de Beneficiários)</t>
    </r>
  </si>
  <si>
    <t>2,3 - Outras (especificar)</t>
  </si>
  <si>
    <t>2.4 -</t>
  </si>
  <si>
    <t>2.5</t>
  </si>
  <si>
    <t>2.6</t>
  </si>
  <si>
    <t>3) Ações de Promoção Humana e Cidadania</t>
  </si>
  <si>
    <t>3.1 - Cursos de Informática/Costura/cabelereiros/Cozinheiro, Artesanato etc.</t>
  </si>
  <si>
    <r>
      <t>3.2 - Atividades Esportivas/Culturais (</t>
    </r>
    <r>
      <rPr>
        <sz val="8"/>
        <rFont val="ARIAL BLACK"/>
        <family val="2"/>
      </rPr>
      <t>escolinhas de esportes e teatros)</t>
    </r>
  </si>
  <si>
    <r>
      <t>3.3 - Financiamentos de Pequenos Empreendimentos (</t>
    </r>
    <r>
      <rPr>
        <sz val="8"/>
        <rFont val="Swis721 LtCn BT"/>
        <family val="0"/>
      </rPr>
      <t>projetos sociais)</t>
    </r>
  </si>
  <si>
    <t>3.4 - Construção/Reformas de Casas</t>
  </si>
  <si>
    <r>
      <rPr>
        <b/>
        <sz val="9"/>
        <rFont val="Swis721 LtCn BT"/>
        <family val="0"/>
      </rPr>
      <t xml:space="preserve">4) Outras ações de Assistência/Promoção social </t>
    </r>
    <r>
      <rPr>
        <b/>
        <sz val="8"/>
        <rFont val="Swis721 LtCn BT"/>
        <family val="0"/>
      </rPr>
      <t>(Detalhar)</t>
    </r>
  </si>
  <si>
    <r>
      <t>4.1 - Doações Concedidas (</t>
    </r>
    <r>
      <rPr>
        <sz val="8"/>
        <rFont val="ARIAL BLACK"/>
        <family val="2"/>
      </rPr>
      <t>Valor dinheiro e número de beneficiários c/doação)</t>
    </r>
  </si>
  <si>
    <t>4.2</t>
  </si>
  <si>
    <t>Recebidos em Kg/ mês</t>
  </si>
  <si>
    <t>Dicas para um bom trabalho com este Mapa Padrão do CNB.</t>
  </si>
  <si>
    <t>ANOTAR TAMBÉM OS DEMAIS DADOS ABAIXO DESTA TABELA O QUE NÃO SOUBER DEVERÁ SER DEIXADO EM BRANCO</t>
  </si>
  <si>
    <t>Insira aqui o CC</t>
  </si>
  <si>
    <t>Nº de Pessoas Atendidas:</t>
  </si>
  <si>
    <t>Vinculada ao Conselho Central:</t>
  </si>
  <si>
    <t>RELATÓRIO MENSAL PARA CONSELHOS METROPOLITANOS</t>
  </si>
  <si>
    <t>..........................................................................</t>
  </si>
  <si>
    <t>...............................................................</t>
  </si>
  <si>
    <t>PARA OBRAS UNIDAS</t>
  </si>
  <si>
    <t>CÓDIGO:</t>
  </si>
  <si>
    <t>Dezembro e/ou outros</t>
  </si>
  <si>
    <t>Janeiro e/ou outros</t>
  </si>
  <si>
    <t>Fevereiro e/ou outros</t>
  </si>
  <si>
    <t>Março e/ou outros</t>
  </si>
  <si>
    <t>Abril e/ou outros</t>
  </si>
  <si>
    <t>Maio e/ou outros</t>
  </si>
  <si>
    <t>Junho e/ou outros</t>
  </si>
  <si>
    <t>Julho e/ou outros</t>
  </si>
  <si>
    <t>Agosto e/ou outros</t>
  </si>
  <si>
    <t>Setembro e/ou outros</t>
  </si>
  <si>
    <t>Outubro e/ou outros</t>
  </si>
  <si>
    <t>Novembro e/ou outros</t>
  </si>
  <si>
    <t>Duocentésima e Meia a ser repassada no próximo mês ao CC</t>
  </si>
  <si>
    <t>Duocentésima e Meia paga ao CC referente ao mês anterior ou anteriores</t>
  </si>
  <si>
    <t>Insira aqui o nome da Obra Unida</t>
  </si>
  <si>
    <t>Os lançamentos financeiros deverão ser lançados mês a mês; observando algumas informações importantes abaixo da tabela como nº de Conferências, Conselhos, confrades, consócias, aspiratnes,  funcionários, Obras, famílias assistidas e outros mais...</t>
  </si>
  <si>
    <r>
      <t xml:space="preserve">Para imprimir o mapa mensal é só digitar o mês, de 1 a 12, no único campo disponível na </t>
    </r>
    <r>
      <rPr>
        <b/>
        <sz val="12"/>
        <color indexed="10"/>
        <rFont val="Arial"/>
        <family val="2"/>
      </rPr>
      <t>planilha "Impressão Frente automática"</t>
    </r>
    <r>
      <rPr>
        <sz val="12"/>
        <rFont val="Arial"/>
        <family val="2"/>
      </rPr>
      <t xml:space="preserve"> caso queira acompanhar o mapa anual ou gerar o mapa anual no final do ano, é só digitar 13. Para imprimir uma cópia em branco é só deixar o referido campo em branco, como se encontra no momento.</t>
    </r>
  </si>
  <si>
    <r>
      <t xml:space="preserve">Tudo começa pelo preenchimento dos dados básicos da unidade; como Nome, data de fundação, data da União, código  e outros mais na </t>
    </r>
    <r>
      <rPr>
        <b/>
        <sz val="12"/>
        <color indexed="10"/>
        <rFont val="Arial"/>
        <family val="2"/>
      </rPr>
      <t>planilha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"Registro de dados e movimentos"  </t>
    </r>
  </si>
  <si>
    <t>Total dos Pagamentos (Somar da linha 16 a 23 e da 25 a 27)</t>
  </si>
  <si>
    <t>2,5% a ser recolhido ao CC no mês em referencia:</t>
  </si>
  <si>
    <r>
      <t xml:space="preserve">ATENÇÃO como a(s) duocentésima(s) e meia sempre são paga(s)  após o fechamento do mapa, em via de regra nas reuniões de conselhos, ou via boleto, nunca se esqueçam de colocar o valor que </t>
    </r>
    <r>
      <rPr>
        <b/>
        <sz val="12"/>
        <color indexed="10"/>
        <rFont val="Arial"/>
        <family val="2"/>
      </rPr>
      <t>foi pago</t>
    </r>
    <r>
      <rPr>
        <sz val="12"/>
        <rFont val="Arial"/>
        <family val="2"/>
      </rPr>
      <t xml:space="preserve"> referente ao mês(es) anterior(es) no </t>
    </r>
    <r>
      <rPr>
        <b/>
        <sz val="12"/>
        <color indexed="10"/>
        <rFont val="Arial"/>
        <family val="2"/>
      </rPr>
      <t>CAMPO V31</t>
    </r>
    <r>
      <rPr>
        <sz val="12"/>
        <rFont val="Arial"/>
        <family val="2"/>
      </rPr>
      <t xml:space="preserve"> da </t>
    </r>
    <r>
      <rPr>
        <b/>
        <sz val="12"/>
        <color indexed="10"/>
        <rFont val="Arial"/>
        <family val="2"/>
      </rPr>
      <t>planilha "Registro de dados e movimentos".</t>
    </r>
  </si>
  <si>
    <r>
      <t xml:space="preserve">Na impressão do verso do mapa, sempre aparecerá o valor da duocentessima que </t>
    </r>
    <r>
      <rPr>
        <b/>
        <sz val="12"/>
        <color indexed="10"/>
        <rFont val="Arial"/>
        <family val="2"/>
      </rPr>
      <t>deverá ser paga</t>
    </r>
    <r>
      <rPr>
        <sz val="12"/>
        <rFont val="Arial"/>
        <family val="2"/>
      </rPr>
      <t xml:space="preserve">, preferencialmente até no máximo no dia da reunião do Conselho, podendo a mesma ser paga antes da reunião dado a facilidade eletrônica hoje em voga, ficando apenas a entrega do recibo de pagamento por parte do Conselho, no dia da reunião. Os demais pagamentos deverão ser escritos manualmente na </t>
    </r>
    <r>
      <rPr>
        <b/>
        <sz val="12"/>
        <color indexed="10"/>
        <rFont val="Arial"/>
        <family val="2"/>
      </rPr>
      <t>planilha "Impressão verso"</t>
    </r>
    <r>
      <rPr>
        <sz val="12"/>
        <rFont val="Arial"/>
        <family val="2"/>
      </rPr>
      <t xml:space="preserve"> antes da impressão e apagados no mês seguinte caso não se repita. Daí a importancia das anotações pessoais na parte inferior da</t>
    </r>
    <r>
      <rPr>
        <b/>
        <sz val="12"/>
        <color indexed="10"/>
        <rFont val="Arial"/>
        <family val="2"/>
      </rPr>
      <t xml:space="preserve"> planilha "Registro de dados e movimentos"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</si>
</sst>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#,##0.00;[Red]#,##0.00"/>
    <numFmt numFmtId="174" formatCode="0.00;[Red]0.00"/>
    <numFmt numFmtId="175" formatCode="0.00_);[Red]\(0.00\)"/>
    <numFmt numFmtId="176" formatCode="[$-416]dddd\,\ d&quot; de &quot;mmmm&quot; de &quot;yyyy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Swis721 LtCn BT"/>
      <family val="0"/>
    </font>
    <font>
      <sz val="10"/>
      <name val="Swis721 LtCn BT"/>
      <family val="0"/>
    </font>
    <font>
      <sz val="10"/>
      <color indexed="48"/>
      <name val="Arial Black"/>
      <family val="2"/>
    </font>
    <font>
      <b/>
      <sz val="10"/>
      <name val="Swis721 LtCn BT"/>
      <family val="0"/>
    </font>
    <font>
      <b/>
      <sz val="9"/>
      <name val="Swis721 LtCn BT"/>
      <family val="0"/>
    </font>
    <font>
      <sz val="9"/>
      <name val="ARIAL BLACK"/>
      <family val="2"/>
    </font>
    <font>
      <b/>
      <sz val="10"/>
      <color indexed="9"/>
      <name val="Swis721 LtCn BT"/>
      <family val="0"/>
    </font>
    <font>
      <b/>
      <sz val="9"/>
      <color indexed="9"/>
      <name val="Swis721 LtCn BT"/>
      <family val="0"/>
    </font>
    <font>
      <sz val="8"/>
      <name val="Swis721 LtCn BT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name val="Swis721 LtCn BT"/>
      <family val="0"/>
    </font>
    <font>
      <sz val="8"/>
      <name val="Arial"/>
      <family val="2"/>
    </font>
    <font>
      <b/>
      <u val="single"/>
      <sz val="12"/>
      <name val="Swis721 LtCn BT"/>
      <family val="0"/>
    </font>
    <font>
      <b/>
      <i/>
      <u val="single"/>
      <sz val="9"/>
      <name val="Swis721 LtCn BT"/>
      <family val="0"/>
    </font>
    <font>
      <u val="single"/>
      <sz val="9"/>
      <name val="Swis721 LtCn BT"/>
      <family val="0"/>
    </font>
    <font>
      <b/>
      <u val="single"/>
      <sz val="9"/>
      <name val="Swis721 LtCn BT"/>
      <family val="0"/>
    </font>
    <font>
      <b/>
      <sz val="8"/>
      <name val="Swis721 LtCn BT"/>
      <family val="0"/>
    </font>
    <font>
      <sz val="12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8"/>
      <name val="Swis721 LtCn BT"/>
      <family val="0"/>
    </font>
    <font>
      <b/>
      <sz val="8"/>
      <name val="ARIAL BLACK"/>
      <family val="2"/>
    </font>
    <font>
      <b/>
      <sz val="9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10"/>
      <name val="ARIAL BLACK"/>
      <family val="2"/>
    </font>
    <font>
      <sz val="14"/>
      <color indexed="18"/>
      <name val="Arial"/>
      <family val="2"/>
    </font>
    <font>
      <b/>
      <sz val="12"/>
      <color indexed="10"/>
      <name val="Arial"/>
      <family val="2"/>
    </font>
    <font>
      <sz val="12"/>
      <name val="Swis721 LtCn B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9"/>
      <name val="Arial Black"/>
      <family val="2"/>
    </font>
    <font>
      <b/>
      <sz val="10.5"/>
      <color indexed="9"/>
      <name val="Arial Black"/>
      <family val="2"/>
    </font>
    <font>
      <b/>
      <vertAlign val="subscript"/>
      <sz val="14"/>
      <color indexed="8"/>
      <name val="Arial"/>
      <family val="2"/>
    </font>
    <font>
      <sz val="9"/>
      <color indexed="8"/>
      <name val="Swis721 LtCn BT"/>
      <family val="0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 Black"/>
      <family val="2"/>
    </font>
    <font>
      <sz val="9"/>
      <color theme="1"/>
      <name val="Swis721 LtCn BT"/>
      <family val="0"/>
    </font>
    <font>
      <b/>
      <sz val="10.5"/>
      <color theme="0"/>
      <name val="Arial Black"/>
      <family val="2"/>
    </font>
    <font>
      <b/>
      <vertAlign val="subscript"/>
      <sz val="14"/>
      <color theme="1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4B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1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43" fontId="2" fillId="0" borderId="12" xfId="60" applyFont="1" applyBorder="1" applyAlignment="1" applyProtection="1">
      <alignment vertical="center"/>
      <protection/>
    </xf>
    <xf numFmtId="43" fontId="2" fillId="0" borderId="12" xfId="60" applyFont="1" applyBorder="1" applyAlignment="1" applyProtection="1">
      <alignment horizontal="right" vertical="center"/>
      <protection/>
    </xf>
    <xf numFmtId="43" fontId="0" fillId="0" borderId="12" xfId="60" applyFont="1" applyBorder="1" applyAlignment="1" applyProtection="1">
      <alignment vertical="center"/>
      <protection/>
    </xf>
    <xf numFmtId="43" fontId="6" fillId="0" borderId="12" xfId="60" applyFont="1" applyBorder="1" applyAlignment="1" applyProtection="1">
      <alignment vertical="center"/>
      <protection/>
    </xf>
    <xf numFmtId="43" fontId="6" fillId="34" borderId="12" xfId="6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43" fontId="5" fillId="0" borderId="12" xfId="60" applyFont="1" applyBorder="1" applyAlignment="1" applyProtection="1">
      <alignment vertical="center"/>
      <protection/>
    </xf>
    <xf numFmtId="174" fontId="5" fillId="0" borderId="12" xfId="60" applyNumberFormat="1" applyFont="1" applyBorder="1" applyAlignment="1" applyProtection="1">
      <alignment vertical="center"/>
      <protection/>
    </xf>
    <xf numFmtId="173" fontId="5" fillId="34" borderId="12" xfId="60" applyNumberFormat="1" applyFont="1" applyFill="1" applyBorder="1" applyAlignment="1" applyProtection="1">
      <alignment vertical="center"/>
      <protection/>
    </xf>
    <xf numFmtId="43" fontId="6" fillId="0" borderId="12" xfId="60" applyFont="1" applyFill="1" applyBorder="1" applyAlignment="1" applyProtection="1">
      <alignment vertical="center"/>
      <protection/>
    </xf>
    <xf numFmtId="43" fontId="2" fillId="0" borderId="12" xfId="60" applyFont="1" applyFill="1" applyBorder="1" applyAlignment="1" applyProtection="1">
      <alignment vertical="center"/>
      <protection/>
    </xf>
    <xf numFmtId="43" fontId="5" fillId="0" borderId="12" xfId="60" applyFont="1" applyFill="1" applyBorder="1" applyAlignment="1" applyProtection="1">
      <alignment vertical="center"/>
      <protection/>
    </xf>
    <xf numFmtId="174" fontId="5" fillId="0" borderId="12" xfId="60" applyNumberFormat="1" applyFont="1" applyFill="1" applyBorder="1" applyAlignment="1" applyProtection="1">
      <alignment vertical="center"/>
      <protection/>
    </xf>
    <xf numFmtId="43" fontId="2" fillId="0" borderId="12" xfId="60" applyFont="1" applyFill="1" applyBorder="1" applyAlignment="1" applyProtection="1">
      <alignment vertical="center"/>
      <protection locked="0"/>
    </xf>
    <xf numFmtId="43" fontId="0" fillId="0" borderId="12" xfId="6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4" fontId="9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" fontId="2" fillId="0" borderId="12" xfId="60" applyNumberFormat="1" applyFont="1" applyFill="1" applyBorder="1" applyAlignment="1" applyProtection="1">
      <alignment vertical="center"/>
      <protection locked="0"/>
    </xf>
    <xf numFmtId="4" fontId="6" fillId="34" borderId="12" xfId="6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right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0" fontId="49" fillId="0" borderId="12" xfId="0" applyFont="1" applyBorder="1" applyAlignment="1" applyProtection="1">
      <alignment horizontal="center" vertical="center"/>
      <protection locked="0"/>
    </xf>
    <xf numFmtId="1" fontId="5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 applyProtection="1">
      <alignment vertical="top" wrapText="1"/>
      <protection/>
    </xf>
    <xf numFmtId="0" fontId="6" fillId="34" borderId="12" xfId="0" applyFont="1" applyFill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6" fillId="0" borderId="14" xfId="0" applyFont="1" applyBorder="1" applyAlignment="1" applyProtection="1">
      <alignment vertical="top" wrapText="1"/>
      <protection/>
    </xf>
    <xf numFmtId="0" fontId="6" fillId="34" borderId="14" xfId="0" applyFont="1" applyFill="1" applyBorder="1" applyAlignment="1" applyProtection="1">
      <alignment vertical="top" wrapText="1"/>
      <protection/>
    </xf>
    <xf numFmtId="0" fontId="7" fillId="0" borderId="16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/>
      <protection/>
    </xf>
    <xf numFmtId="43" fontId="3" fillId="0" borderId="12" xfId="60" applyFont="1" applyFill="1" applyBorder="1" applyAlignment="1" applyProtection="1">
      <alignment vertical="center"/>
      <protection locked="0"/>
    </xf>
    <xf numFmtId="0" fontId="0" fillId="6" borderId="12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1" fillId="0" borderId="15" xfId="0" applyFont="1" applyBorder="1" applyAlignment="1" applyProtection="1">
      <alignment horizontal="right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43" fontId="22" fillId="0" borderId="12" xfId="60" applyFont="1" applyBorder="1" applyAlignment="1" applyProtection="1">
      <alignment vertical="center"/>
      <protection/>
    </xf>
    <xf numFmtId="1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/>
    </xf>
    <xf numFmtId="0" fontId="21" fillId="0" borderId="18" xfId="0" applyFont="1" applyBorder="1" applyAlignment="1" applyProtection="1">
      <alignment horizontal="right"/>
      <protection/>
    </xf>
    <xf numFmtId="0" fontId="0" fillId="0" borderId="12" xfId="0" applyBorder="1" applyAlignment="1">
      <alignment horizontal="center" vertical="center"/>
    </xf>
    <xf numFmtId="43" fontId="22" fillId="0" borderId="12" xfId="60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left"/>
    </xf>
    <xf numFmtId="0" fontId="77" fillId="35" borderId="20" xfId="0" applyFont="1" applyFill="1" applyBorder="1" applyAlignment="1">
      <alignment vertical="top"/>
    </xf>
    <xf numFmtId="0" fontId="78" fillId="35" borderId="11" xfId="0" applyFont="1" applyFill="1" applyBorder="1" applyAlignment="1">
      <alignment vertical="top"/>
    </xf>
    <xf numFmtId="0" fontId="78" fillId="35" borderId="15" xfId="0" applyFont="1" applyFill="1" applyBorder="1" applyAlignment="1">
      <alignment vertical="top"/>
    </xf>
    <xf numFmtId="0" fontId="0" fillId="0" borderId="12" xfId="0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vertical="center"/>
      <protection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right"/>
      <protection/>
    </xf>
    <xf numFmtId="0" fontId="21" fillId="0" borderId="11" xfId="0" applyFont="1" applyBorder="1" applyAlignment="1" applyProtection="1">
      <alignment horizontal="right"/>
      <protection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50" fillId="7" borderId="1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right"/>
      <protection/>
    </xf>
    <xf numFmtId="0" fontId="3" fillId="0" borderId="12" xfId="0" applyFont="1" applyBorder="1" applyAlignment="1">
      <alignment horizontal="right"/>
    </xf>
    <xf numFmtId="0" fontId="0" fillId="0" borderId="13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1" xfId="0" applyFill="1" applyBorder="1" applyAlignment="1">
      <alignment/>
    </xf>
    <xf numFmtId="0" fontId="2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0" xfId="0" applyFont="1" applyAlignment="1">
      <alignment/>
    </xf>
    <xf numFmtId="14" fontId="50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>
      <alignment wrapText="1"/>
    </xf>
    <xf numFmtId="0" fontId="21" fillId="0" borderId="0" xfId="0" applyFont="1" applyAlignment="1">
      <alignment/>
    </xf>
    <xf numFmtId="43" fontId="3" fillId="0" borderId="12" xfId="60" applyFont="1" applyBorder="1" applyAlignment="1" applyProtection="1">
      <alignment vertical="center"/>
      <protection locked="0"/>
    </xf>
    <xf numFmtId="0" fontId="21" fillId="0" borderId="24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/>
    </xf>
    <xf numFmtId="0" fontId="21" fillId="0" borderId="22" xfId="0" applyFont="1" applyBorder="1" applyAlignment="1">
      <alignment wrapText="1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left" vertical="center"/>
    </xf>
    <xf numFmtId="0" fontId="7" fillId="33" borderId="12" xfId="0" applyFont="1" applyFill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1" fillId="6" borderId="12" xfId="0" applyFont="1" applyFill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left" vertical="center" wrapText="1"/>
      <protection/>
    </xf>
    <xf numFmtId="0" fontId="20" fillId="0" borderId="25" xfId="0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left" vertical="center" wrapText="1"/>
    </xf>
    <xf numFmtId="0" fontId="20" fillId="7" borderId="14" xfId="0" applyFont="1" applyFill="1" applyBorder="1" applyAlignment="1" applyProtection="1">
      <alignment horizontal="left" vertical="center"/>
      <protection locked="0"/>
    </xf>
    <xf numFmtId="0" fontId="20" fillId="7" borderId="11" xfId="0" applyFont="1" applyFill="1" applyBorder="1" applyAlignment="1" applyProtection="1">
      <alignment horizontal="left" vertical="center"/>
      <protection locked="0"/>
    </xf>
    <xf numFmtId="0" fontId="20" fillId="7" borderId="15" xfId="0" applyFont="1" applyFill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15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6" fillId="3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21" fillId="0" borderId="14" xfId="0" applyFont="1" applyFill="1" applyBorder="1" applyAlignment="1" applyProtection="1">
      <alignment horizontal="right"/>
      <protection/>
    </xf>
    <xf numFmtId="0" fontId="21" fillId="0" borderId="11" xfId="0" applyFont="1" applyFill="1" applyBorder="1" applyAlignment="1" applyProtection="1">
      <alignment horizontal="right"/>
      <protection/>
    </xf>
    <xf numFmtId="0" fontId="21" fillId="0" borderId="15" xfId="0" applyFont="1" applyFill="1" applyBorder="1" applyAlignment="1" applyProtection="1">
      <alignment horizontal="right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79" fillId="0" borderId="17" xfId="0" applyFont="1" applyBorder="1" applyAlignment="1" applyProtection="1">
      <alignment horizontal="center" vertical="center" wrapText="1"/>
      <protection/>
    </xf>
    <xf numFmtId="0" fontId="79" fillId="0" borderId="25" xfId="0" applyFont="1" applyBorder="1" applyAlignment="1" applyProtection="1">
      <alignment horizontal="center" vertical="center" wrapText="1"/>
      <protection/>
    </xf>
    <xf numFmtId="0" fontId="79" fillId="0" borderId="18" xfId="0" applyFont="1" applyBorder="1" applyAlignment="1" applyProtection="1">
      <alignment horizontal="center" vertical="center" wrapText="1"/>
      <protection/>
    </xf>
    <xf numFmtId="0" fontId="79" fillId="0" borderId="16" xfId="0" applyFont="1" applyBorder="1" applyAlignment="1" applyProtection="1">
      <alignment horizontal="center" vertical="center" wrapText="1"/>
      <protection/>
    </xf>
    <xf numFmtId="0" fontId="79" fillId="0" borderId="10" xfId="0" applyFont="1" applyBorder="1" applyAlignment="1" applyProtection="1">
      <alignment horizontal="center" vertical="center" wrapText="1"/>
      <protection/>
    </xf>
    <xf numFmtId="0" fontId="79" fillId="0" borderId="21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right"/>
      <protection/>
    </xf>
    <xf numFmtId="0" fontId="21" fillId="0" borderId="11" xfId="0" applyFont="1" applyBorder="1" applyAlignment="1" applyProtection="1">
      <alignment horizontal="right"/>
      <protection/>
    </xf>
    <xf numFmtId="0" fontId="21" fillId="0" borderId="15" xfId="0" applyFont="1" applyBorder="1" applyAlignment="1" applyProtection="1">
      <alignment horizontal="right"/>
      <protection/>
    </xf>
    <xf numFmtId="0" fontId="50" fillId="0" borderId="26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right" vertical="center"/>
      <protection/>
    </xf>
    <xf numFmtId="0" fontId="48" fillId="0" borderId="15" xfId="0" applyFont="1" applyBorder="1" applyAlignment="1" applyProtection="1">
      <alignment horizontal="right" vertical="center"/>
      <protection/>
    </xf>
    <xf numFmtId="0" fontId="48" fillId="0" borderId="26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80" fillId="7" borderId="17" xfId="0" applyFont="1" applyFill="1" applyBorder="1" applyAlignment="1" applyProtection="1">
      <alignment horizontal="center" vertical="center" wrapText="1"/>
      <protection/>
    </xf>
    <xf numFmtId="0" fontId="80" fillId="7" borderId="25" xfId="0" applyFont="1" applyFill="1" applyBorder="1" applyAlignment="1" applyProtection="1">
      <alignment horizontal="center" vertical="center" wrapText="1"/>
      <protection/>
    </xf>
    <xf numFmtId="0" fontId="80" fillId="7" borderId="18" xfId="0" applyFont="1" applyFill="1" applyBorder="1" applyAlignment="1" applyProtection="1">
      <alignment horizontal="center" vertical="center" wrapText="1"/>
      <protection/>
    </xf>
    <xf numFmtId="0" fontId="80" fillId="7" borderId="16" xfId="0" applyFont="1" applyFill="1" applyBorder="1" applyAlignment="1" applyProtection="1">
      <alignment horizontal="center" vertical="center" wrapText="1"/>
      <protection/>
    </xf>
    <xf numFmtId="0" fontId="80" fillId="7" borderId="10" xfId="0" applyFont="1" applyFill="1" applyBorder="1" applyAlignment="1" applyProtection="1">
      <alignment horizontal="center" vertical="center" wrapText="1"/>
      <protection/>
    </xf>
    <xf numFmtId="0" fontId="80" fillId="7" borderId="21" xfId="0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left" vertical="center"/>
      <protection/>
    </xf>
    <xf numFmtId="1" fontId="6" fillId="0" borderId="15" xfId="0" applyNumberFormat="1" applyFont="1" applyBorder="1" applyAlignment="1" applyProtection="1">
      <alignment horizontal="left" vertical="center"/>
      <protection/>
    </xf>
    <xf numFmtId="1" fontId="2" fillId="0" borderId="11" xfId="0" applyNumberFormat="1" applyFont="1" applyBorder="1" applyAlignment="1" applyProtection="1">
      <alignment horizontal="left" vertical="center"/>
      <protection/>
    </xf>
    <xf numFmtId="1" fontId="2" fillId="0" borderId="15" xfId="0" applyNumberFormat="1" applyFont="1" applyBorder="1" applyAlignment="1" applyProtection="1">
      <alignment horizontal="left" vertical="center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right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25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81" fillId="36" borderId="17" xfId="0" applyFont="1" applyFill="1" applyBorder="1" applyAlignment="1">
      <alignment horizontal="center" vertical="center"/>
    </xf>
    <xf numFmtId="0" fontId="81" fillId="36" borderId="25" xfId="0" applyFont="1" applyFill="1" applyBorder="1" applyAlignment="1">
      <alignment horizontal="center" vertical="center"/>
    </xf>
    <xf numFmtId="0" fontId="81" fillId="36" borderId="18" xfId="0" applyFont="1" applyFill="1" applyBorder="1" applyAlignment="1">
      <alignment horizontal="center" vertical="center"/>
    </xf>
    <xf numFmtId="0" fontId="81" fillId="36" borderId="16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/>
    </xf>
    <xf numFmtId="0" fontId="81" fillId="36" borderId="21" xfId="0" applyFont="1" applyFill="1" applyBorder="1" applyAlignment="1">
      <alignment horizontal="center" vertical="center"/>
    </xf>
    <xf numFmtId="0" fontId="28" fillId="0" borderId="17" xfId="0" applyFont="1" applyBorder="1" applyAlignment="1" applyProtection="1">
      <alignment horizontal="left"/>
      <protection/>
    </xf>
    <xf numFmtId="0" fontId="28" fillId="0" borderId="25" xfId="0" applyFont="1" applyBorder="1" applyAlignment="1" applyProtection="1">
      <alignment horizontal="left"/>
      <protection/>
    </xf>
    <xf numFmtId="0" fontId="28" fillId="0" borderId="26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1" fontId="5" fillId="0" borderId="18" xfId="0" applyNumberFormat="1" applyFont="1" applyFill="1" applyBorder="1" applyAlignment="1" applyProtection="1">
      <alignment horizontal="left"/>
      <protection/>
    </xf>
    <xf numFmtId="1" fontId="5" fillId="0" borderId="13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27" fillId="0" borderId="2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82" fillId="0" borderId="12" xfId="0" applyFont="1" applyBorder="1" applyAlignment="1" applyProtection="1">
      <alignment horizontal="left"/>
      <protection locked="0"/>
    </xf>
    <xf numFmtId="0" fontId="77" fillId="35" borderId="12" xfId="0" applyFont="1" applyFill="1" applyBorder="1" applyAlignment="1" applyProtection="1">
      <alignment horizontal="left" vertical="center"/>
      <protection locked="0"/>
    </xf>
    <xf numFmtId="0" fontId="78" fillId="35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horizontal="left"/>
      <protection/>
    </xf>
    <xf numFmtId="0" fontId="12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2" fontId="21" fillId="0" borderId="12" xfId="0" applyNumberFormat="1" applyFont="1" applyBorder="1" applyAlignment="1" applyProtection="1">
      <alignment horizontal="right" wrapText="1"/>
      <protection locked="0"/>
    </xf>
    <xf numFmtId="0" fontId="21" fillId="0" borderId="12" xfId="0" applyFont="1" applyBorder="1" applyAlignment="1" applyProtection="1">
      <alignment horizontal="center" vertical="center"/>
      <protection/>
    </xf>
    <xf numFmtId="2" fontId="21" fillId="0" borderId="22" xfId="0" applyNumberFormat="1" applyFont="1" applyBorder="1" applyAlignment="1" applyProtection="1">
      <alignment horizontal="right"/>
      <protection/>
    </xf>
    <xf numFmtId="0" fontId="21" fillId="0" borderId="16" xfId="0" applyNumberFormat="1" applyFont="1" applyBorder="1" applyAlignment="1" applyProtection="1">
      <alignment horizontal="center" vertical="center"/>
      <protection/>
    </xf>
    <xf numFmtId="0" fontId="21" fillId="0" borderId="10" xfId="0" applyNumberFormat="1" applyFont="1" applyBorder="1" applyAlignment="1" applyProtection="1">
      <alignment horizontal="center" vertical="center"/>
      <protection/>
    </xf>
    <xf numFmtId="2" fontId="21" fillId="0" borderId="12" xfId="0" applyNumberFormat="1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20" fillId="0" borderId="27" xfId="0" applyNumberFormat="1" applyFont="1" applyBorder="1" applyAlignment="1">
      <alignment horizontal="right" vertical="center" wrapText="1"/>
    </xf>
    <xf numFmtId="0" fontId="2" fillId="0" borderId="23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center" vertical="center"/>
      <protection/>
    </xf>
    <xf numFmtId="2" fontId="21" fillId="0" borderId="23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left"/>
      <protection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left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left"/>
      <protection locked="0"/>
    </xf>
    <xf numFmtId="0" fontId="31" fillId="0" borderId="14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3" fillId="36" borderId="15" xfId="0" applyFont="1" applyFill="1" applyBorder="1" applyAlignment="1">
      <alignment horizontal="center" vertical="center"/>
    </xf>
    <xf numFmtId="0" fontId="83" fillId="36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4" fillId="0" borderId="15" xfId="0" applyFont="1" applyBorder="1" applyAlignment="1">
      <alignment horizontal="left"/>
    </xf>
    <xf numFmtId="0" fontId="84" fillId="0" borderId="12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85" fillId="35" borderId="20" xfId="0" applyFont="1" applyFill="1" applyBorder="1" applyAlignment="1">
      <alignment vertical="top"/>
    </xf>
    <xf numFmtId="0" fontId="78" fillId="35" borderId="11" xfId="0" applyFont="1" applyFill="1" applyBorder="1" applyAlignment="1">
      <alignment vertical="top"/>
    </xf>
    <xf numFmtId="0" fontId="78" fillId="35" borderId="15" xfId="0" applyFont="1" applyFill="1" applyBorder="1" applyAlignment="1">
      <alignment vertical="top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82" fillId="0" borderId="20" xfId="0" applyFont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8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2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7" fillId="35" borderId="20" xfId="0" applyFont="1" applyFill="1" applyBorder="1" applyAlignment="1">
      <alignment vertical="top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37" xfId="0" applyFont="1" applyBorder="1" applyAlignment="1">
      <alignment horizontal="left"/>
    </xf>
    <xf numFmtId="0" fontId="25" fillId="0" borderId="20" xfId="0" applyFont="1" applyBorder="1" applyAlignment="1">
      <alignment horizontal="left" wrapText="1"/>
    </xf>
    <xf numFmtId="0" fontId="2" fillId="0" borderId="3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6" fillId="0" borderId="2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" fillId="0" borderId="31" xfId="0" applyFont="1" applyBorder="1" applyAlignment="1" applyProtection="1">
      <alignment horizontal="justify" vertic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44" xfId="0" applyFont="1" applyBorder="1" applyAlignment="1" applyProtection="1">
      <alignment horizontal="justify" vertical="center"/>
      <protection locked="0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2" fillId="0" borderId="39" xfId="0" applyFont="1" applyBorder="1" applyAlignment="1" applyProtection="1">
      <alignment horizontal="justify" vertical="center"/>
      <protection locked="0"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81" fillId="36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8" fillId="38" borderId="12" xfId="0" applyFont="1" applyFill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/>
        <i val="0"/>
      </font>
    </dxf>
    <dxf>
      <font>
        <b/>
        <i val="0"/>
      </font>
      <numFmt numFmtId="175" formatCode="0.00_);[Red]\(0.00\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142875</xdr:rowOff>
    </xdr:from>
    <xdr:to>
      <xdr:col>7</xdr:col>
      <xdr:colOff>161925</xdr:colOff>
      <xdr:row>9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6</xdr:col>
      <xdr:colOff>190500</xdr:colOff>
      <xdr:row>7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7</xdr:col>
      <xdr:colOff>47625</xdr:colOff>
      <xdr:row>8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entinos\Desktop\MapaObrasuni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.U Impressão Frente Manual"/>
      <sheetName val="O.U Impressão Verso Manual"/>
      <sheetName val="Mapa Anual"/>
      <sheetName val="OU Preenchimento para impressão"/>
      <sheetName val="O.U Impressão Frente automatico"/>
      <sheetName val="O.U Impressão Verso semi-auto"/>
    </sheetNames>
    <sheetDataSet>
      <sheetData sheetId="3">
        <row r="4">
          <cell r="V4">
            <v>1</v>
          </cell>
          <cell r="W4">
            <v>2</v>
          </cell>
          <cell r="X4">
            <v>3</v>
          </cell>
          <cell r="Y4">
            <v>4</v>
          </cell>
          <cell r="Z4">
            <v>5</v>
          </cell>
          <cell r="AA4">
            <v>6</v>
          </cell>
          <cell r="AB4">
            <v>7</v>
          </cell>
          <cell r="AC4">
            <v>8</v>
          </cell>
          <cell r="AD4">
            <v>9</v>
          </cell>
          <cell r="AE4">
            <v>10</v>
          </cell>
          <cell r="AF4">
            <v>11</v>
          </cell>
          <cell r="AG4">
            <v>12</v>
          </cell>
          <cell r="AH4">
            <v>13</v>
          </cell>
        </row>
        <row r="5">
          <cell r="A5" t="str">
            <v>RECEBIMENTOS (Receitas/Arrecadações)</v>
          </cell>
          <cell r="V5" t="str">
            <v>Janeiro</v>
          </cell>
          <cell r="W5" t="str">
            <v>Fevereiro</v>
          </cell>
          <cell r="X5" t="str">
            <v>Março</v>
          </cell>
          <cell r="Y5" t="str">
            <v>Abril</v>
          </cell>
          <cell r="Z5" t="str">
            <v>Maio</v>
          </cell>
          <cell r="AA5" t="str">
            <v>Junho</v>
          </cell>
          <cell r="AB5" t="str">
            <v>Julho</v>
          </cell>
          <cell r="AC5" t="str">
            <v>Agosto</v>
          </cell>
          <cell r="AD5" t="str">
            <v>Setembro</v>
          </cell>
          <cell r="AE5" t="str">
            <v>Outubro</v>
          </cell>
          <cell r="AF5" t="str">
            <v>Novembro</v>
          </cell>
          <cell r="AG5" t="str">
            <v>Dezembro</v>
          </cell>
          <cell r="AH5" t="str">
            <v>Balanço Anual</v>
          </cell>
        </row>
        <row r="6">
          <cell r="A6" t="str">
            <v>01.</v>
          </cell>
          <cell r="B6" t="str">
            <v>Coletas/Subscritores e Benfeitores/Contribuições</v>
          </cell>
          <cell r="AH6" t="str">
            <v/>
          </cell>
        </row>
        <row r="7">
          <cell r="A7" t="str">
            <v>02.</v>
          </cell>
          <cell r="B7" t="str">
            <v>Convênios</v>
          </cell>
          <cell r="AH7" t="str">
            <v/>
          </cell>
        </row>
        <row r="8">
          <cell r="A8" t="str">
            <v>03. </v>
          </cell>
          <cell r="B8" t="str">
            <v>Doações Recebidas e Contribuições dos usuários</v>
          </cell>
          <cell r="AH8" t="str">
            <v/>
          </cell>
        </row>
        <row r="9">
          <cell r="A9" t="str">
            <v>04.                                                                                                                                                   </v>
          </cell>
          <cell r="B9" t="str">
            <v>Receitas Líquidas com Eventos (Rifa, Bazar, almoços etc.)</v>
          </cell>
          <cell r="AH9" t="str">
            <v/>
          </cell>
        </row>
        <row r="10">
          <cell r="A10" t="str">
            <v>05.                                                 </v>
          </cell>
          <cell r="B10" t="str">
            <v>Outras Receitas Sujeitas a Duocentésima e Meia                                                                                                                                                         </v>
          </cell>
          <cell r="AH10" t="str">
            <v/>
          </cell>
        </row>
        <row r="11">
          <cell r="A11" t="str">
            <v>06. </v>
          </cell>
          <cell r="B11" t="str">
            <v>Subtotal (Valor de cálculo da Duocent´sima e Meia) 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12" t="str">
            <v>07. </v>
          </cell>
          <cell r="B12" t="str">
            <v>Subvenções Oficiais</v>
          </cell>
          <cell r="AH12" t="str">
            <v/>
          </cell>
        </row>
        <row r="13">
          <cell r="A13" t="str">
            <v>08. </v>
          </cell>
          <cell r="B13" t="str">
            <v>Convênios</v>
          </cell>
          <cell r="AH13" t="str">
            <v/>
          </cell>
        </row>
        <row r="14">
          <cell r="A14" t="str">
            <v>09.</v>
          </cell>
          <cell r="B14" t="str">
            <v>União Fraternal  (Contribuições Recebidas de Unidades Vicentinas)</v>
          </cell>
          <cell r="AH14" t="str">
            <v/>
          </cell>
        </row>
        <row r="15">
          <cell r="A15" t="str">
            <v>10.</v>
          </cell>
          <cell r="AH15" t="str">
            <v/>
          </cell>
        </row>
        <row r="16">
          <cell r="A16" t="str">
            <v>11.</v>
          </cell>
          <cell r="AH16" t="str">
            <v/>
          </cell>
        </row>
        <row r="17">
          <cell r="A17" t="str">
            <v>12.</v>
          </cell>
          <cell r="B17" t="str">
            <v>Recebimentos para Repasses</v>
          </cell>
          <cell r="AH17" t="str">
            <v/>
          </cell>
        </row>
        <row r="18">
          <cell r="A18" t="str">
            <v>13.</v>
          </cell>
          <cell r="B18" t="str">
            <v>Total dos Recebimentos (Somar da linha 06 a linha 12)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A19" t="str">
            <v>14. Saldo no início do mês (Igual ao Saldo final do mês anterior)</v>
          </cell>
          <cell r="B19" t="str">
            <v>Saldo no início do mês (Igual ao Saldo final do mês anterior)</v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20" t="str">
            <v>15. Total Recebimentos + Saldo início do mês (linha 13 + linha 14)</v>
          </cell>
          <cell r="B20" t="str">
            <v>Total Recebimentos + Saldo início do mês (linha 13 + linha 14)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2">
          <cell r="A22" t="str">
            <v>PAGAMENTOS (Despesas/Investimentos Sociais/Repasses)</v>
          </cell>
          <cell r="V22" t="str">
            <v>Janeiro</v>
          </cell>
          <cell r="W22" t="str">
            <v>Fevereiro</v>
          </cell>
          <cell r="X22" t="str">
            <v>Março</v>
          </cell>
          <cell r="Y22" t="str">
            <v>Abril</v>
          </cell>
          <cell r="Z22" t="str">
            <v>Maio</v>
          </cell>
          <cell r="AA22" t="str">
            <v>Junho</v>
          </cell>
          <cell r="AB22" t="str">
            <v>Julho</v>
          </cell>
          <cell r="AC22" t="str">
            <v>Agosto</v>
          </cell>
          <cell r="AD22" t="str">
            <v>Setembro</v>
          </cell>
          <cell r="AE22" t="str">
            <v>Outubro</v>
          </cell>
          <cell r="AF22" t="str">
            <v>Novembro</v>
          </cell>
          <cell r="AG22" t="str">
            <v>Dezembro</v>
          </cell>
          <cell r="AH22" t="str">
            <v>Balanço Anual</v>
          </cell>
        </row>
        <row r="23">
          <cell r="A23" t="str">
            <v>16.</v>
          </cell>
          <cell r="B23" t="str">
            <v>Despesas Administrativas e de Funcionamento da Obra Unida</v>
          </cell>
          <cell r="AH23" t="str">
            <v/>
          </cell>
        </row>
        <row r="24">
          <cell r="A24" t="str">
            <v>17.</v>
          </cell>
          <cell r="B24" t="str">
            <v>Despesas com Pessoal e Encargos Sociais</v>
          </cell>
          <cell r="AH24" t="str">
            <v/>
          </cell>
        </row>
        <row r="25">
          <cell r="A25" t="str">
            <v>18. </v>
          </cell>
          <cell r="B25" t="str">
            <v>Despesas com Água, Energia e Telefone</v>
          </cell>
          <cell r="AH25" t="str">
            <v/>
          </cell>
        </row>
        <row r="26">
          <cell r="A26" t="str">
            <v>19.</v>
          </cell>
          <cell r="B26" t="str">
            <v>Despesas com alimentação</v>
          </cell>
          <cell r="AH26" t="str">
            <v/>
          </cell>
        </row>
        <row r="27">
          <cell r="A27" t="str">
            <v>20.</v>
          </cell>
          <cell r="B27" t="str">
            <v>Despesas com Medicamentos e Hospitalares</v>
          </cell>
          <cell r="AH27" t="str">
            <v/>
          </cell>
        </row>
        <row r="28">
          <cell r="A28" t="str">
            <v>21. </v>
          </cell>
          <cell r="AH28" t="str">
            <v/>
          </cell>
        </row>
        <row r="29">
          <cell r="A29" t="str">
            <v>22. </v>
          </cell>
          <cell r="AH29" t="str">
            <v/>
          </cell>
        </row>
        <row r="30">
          <cell r="A30" t="str">
            <v>23. </v>
          </cell>
          <cell r="AH30" t="str">
            <v/>
          </cell>
        </row>
        <row r="31">
          <cell r="A31" t="str">
            <v>24.</v>
          </cell>
          <cell r="B31" t="str">
            <v>Duocentésima e Meia enviada ao CC (2,5% do valor da linha 6)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</row>
        <row r="32">
          <cell r="A32" t="str">
            <v>25.</v>
          </cell>
          <cell r="AH32" t="str">
            <v/>
          </cell>
        </row>
        <row r="33">
          <cell r="A33" t="str">
            <v>26.</v>
          </cell>
          <cell r="AH33" t="str">
            <v/>
          </cell>
        </row>
        <row r="34">
          <cell r="A34" t="str">
            <v>27.</v>
          </cell>
          <cell r="B34" t="str">
            <v>Repasses Referentes a linha 12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</row>
        <row r="35">
          <cell r="A35" t="str">
            <v>28.</v>
          </cell>
          <cell r="B35" t="str">
            <v>Total dos Pagamentos (Somar da linha 16 a linha 27)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>
            <v>0</v>
          </cell>
        </row>
        <row r="36">
          <cell r="A36" t="str">
            <v>29.</v>
          </cell>
          <cell r="B36" t="str">
            <v>Saldo no final do mês (linha 15 - linha 28)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</row>
        <row r="37">
          <cell r="A37" t="str">
            <v>30.</v>
          </cell>
          <cell r="B37" t="str">
            <v>Total dos Pagamentos + Saldo Final do mês (Somar linha 28 + linha 29)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34.421875" style="0" customWidth="1"/>
  </cols>
  <sheetData>
    <row r="1" ht="15.75">
      <c r="A1" s="103" t="s">
        <v>164</v>
      </c>
    </row>
    <row r="2" ht="10.5" customHeight="1">
      <c r="A2" s="104"/>
    </row>
    <row r="3" s="122" customFormat="1" ht="30.75">
      <c r="A3" s="121" t="s">
        <v>191</v>
      </c>
    </row>
    <row r="4" s="122" customFormat="1" ht="10.5" customHeight="1">
      <c r="A4" s="121"/>
    </row>
    <row r="5" s="122" customFormat="1" ht="30">
      <c r="A5" s="121" t="s">
        <v>189</v>
      </c>
    </row>
    <row r="6" s="122" customFormat="1" ht="15" customHeight="1">
      <c r="A6" s="121"/>
    </row>
    <row r="7" s="122" customFormat="1" ht="46.5">
      <c r="A7" s="121" t="s">
        <v>190</v>
      </c>
    </row>
    <row r="8" s="122" customFormat="1" ht="10.5" customHeight="1">
      <c r="A8" s="121"/>
    </row>
    <row r="9" s="122" customFormat="1" ht="46.5">
      <c r="A9" s="124" t="s">
        <v>194</v>
      </c>
    </row>
    <row r="10" s="122" customFormat="1" ht="9.75" customHeight="1">
      <c r="A10" s="125"/>
    </row>
    <row r="11" s="122" customFormat="1" ht="74.25" customHeight="1">
      <c r="A11" s="126" t="s">
        <v>195</v>
      </c>
    </row>
    <row r="12" s="122" customFormat="1" ht="15"/>
    <row r="13" s="122" customFormat="1" ht="15"/>
    <row r="14" s="122" customFormat="1" ht="15"/>
    <row r="15" s="122" customFormat="1" ht="15"/>
    <row r="16" s="122" customFormat="1" ht="15"/>
    <row r="17" s="122" customFormat="1" ht="15"/>
    <row r="18" s="122" customFormat="1" ht="15"/>
    <row r="19" s="122" customFormat="1" ht="15"/>
    <row r="20" s="122" customFormat="1" ht="15"/>
    <row r="21" s="122" customFormat="1" ht="15"/>
    <row r="22" s="122" customFormat="1" ht="15"/>
    <row r="23" s="122" customFormat="1" ht="15"/>
    <row r="24" s="122" customFormat="1" ht="15"/>
    <row r="25" s="122" customFormat="1" ht="15"/>
    <row r="26" s="122" customFormat="1" ht="15"/>
    <row r="27" s="122" customFormat="1" ht="15"/>
  </sheetData>
  <sheetProtection password="D0B7" sheet="1" formatCells="0" formatColumns="0" formatRows="0"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4"/>
  <sheetViews>
    <sheetView showGridLines="0" zoomScalePageLayoutView="0" workbookViewId="0" topLeftCell="A1">
      <pane xSplit="21" topLeftCell="V1" activePane="topRight" state="frozen"/>
      <selection pane="topLeft" activeCell="A1" sqref="A1"/>
      <selection pane="topRight" activeCell="V31" sqref="V31"/>
    </sheetView>
  </sheetViews>
  <sheetFormatPr defaultColWidth="9.140625" defaultRowHeight="12.75"/>
  <cols>
    <col min="1" max="1" width="2.8515625" style="3" customWidth="1"/>
    <col min="2" max="20" width="2.7109375" style="3" customWidth="1"/>
    <col min="21" max="21" width="9.421875" style="3" customWidth="1"/>
    <col min="22" max="23" width="11.7109375" style="3" customWidth="1"/>
    <col min="24" max="33" width="11.421875" style="3" customWidth="1"/>
    <col min="34" max="34" width="14.57421875" style="3" hidden="1" customWidth="1"/>
    <col min="35" max="47" width="2.7109375" style="3" customWidth="1"/>
    <col min="48" max="48" width="3.140625" style="3" customWidth="1"/>
    <col min="49" max="54" width="2.7109375" style="3" customWidth="1"/>
    <col min="55" max="55" width="9.140625" style="3" customWidth="1"/>
    <col min="56" max="68" width="11.421875" style="3" customWidth="1"/>
    <col min="69" max="16384" width="9.140625" style="3" customWidth="1"/>
  </cols>
  <sheetData>
    <row r="1" spans="1:68" s="40" customFormat="1" ht="35.25" customHeight="1">
      <c r="A1" s="137" t="s">
        <v>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/>
      <c r="V1" s="50" t="s">
        <v>72</v>
      </c>
      <c r="W1" s="50" t="s">
        <v>118</v>
      </c>
      <c r="X1" s="50" t="s">
        <v>73</v>
      </c>
      <c r="Y1" s="50" t="s">
        <v>74</v>
      </c>
      <c r="Z1" s="135" t="s">
        <v>79</v>
      </c>
      <c r="AA1" s="135"/>
      <c r="AB1" s="180"/>
      <c r="AC1" s="181"/>
      <c r="AD1" s="39"/>
      <c r="AE1" s="39"/>
      <c r="AF1" s="39"/>
      <c r="AG1" s="39"/>
      <c r="AH1" s="3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6"/>
      <c r="BJ1" s="6"/>
      <c r="BK1" s="6"/>
      <c r="BL1" s="6"/>
      <c r="BM1" s="6"/>
      <c r="BN1" s="6"/>
      <c r="BO1" s="6"/>
      <c r="BP1" s="6"/>
    </row>
    <row r="2" spans="1:68" s="40" customFormat="1" ht="19.5" customHeight="1">
      <c r="A2" s="140" t="s">
        <v>188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  <c r="V2" s="120" t="s">
        <v>77</v>
      </c>
      <c r="W2" s="120" t="s">
        <v>121</v>
      </c>
      <c r="X2" s="52" t="s">
        <v>78</v>
      </c>
      <c r="Y2" s="53">
        <v>2023</v>
      </c>
      <c r="Z2" s="136" t="s">
        <v>166</v>
      </c>
      <c r="AA2" s="136"/>
      <c r="AB2" s="176"/>
      <c r="AC2" s="177"/>
      <c r="AD2" s="39"/>
      <c r="AE2" s="39"/>
      <c r="AF2" s="39"/>
      <c r="AG2" s="39"/>
      <c r="AH2" s="39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6"/>
      <c r="BK2" s="6"/>
      <c r="BL2" s="6"/>
      <c r="BM2" s="6"/>
      <c r="BN2" s="6"/>
      <c r="BO2" s="6"/>
      <c r="BP2" s="6"/>
    </row>
    <row r="3" spans="1:68" ht="19.5" customHeight="1">
      <c r="A3" s="182" t="s">
        <v>165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4"/>
      <c r="V3" s="178" t="s">
        <v>119</v>
      </c>
      <c r="W3" s="179"/>
      <c r="X3" s="105"/>
      <c r="Y3" s="147" t="s">
        <v>120</v>
      </c>
      <c r="Z3" s="148"/>
      <c r="AA3" s="149"/>
      <c r="AB3" s="39"/>
      <c r="AC3" s="39"/>
      <c r="AD3" s="39"/>
      <c r="AE3" s="39"/>
      <c r="AF3" s="39"/>
      <c r="AG3" s="39"/>
      <c r="AH3" s="39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L3" s="6"/>
      <c r="BM3" s="6"/>
      <c r="BN3" s="6"/>
      <c r="BO3" s="6"/>
      <c r="BP3" s="6"/>
    </row>
    <row r="4" spans="1:68" ht="14.25" customHeight="1">
      <c r="A4" s="18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106" t="s">
        <v>122</v>
      </c>
      <c r="W4" s="144"/>
      <c r="X4" s="145"/>
      <c r="Y4" s="145"/>
      <c r="Z4" s="145"/>
      <c r="AA4" s="146"/>
      <c r="AB4" s="4"/>
      <c r="AC4" s="4"/>
      <c r="AD4" s="4"/>
      <c r="AE4" s="4"/>
      <c r="AF4" s="4"/>
      <c r="AG4" s="4"/>
      <c r="AH4" s="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L4" s="6"/>
      <c r="BM4" s="6"/>
      <c r="BN4" s="6"/>
      <c r="BO4" s="6"/>
      <c r="BP4" s="6"/>
    </row>
    <row r="5" spans="1:68" ht="14.25" customHeight="1" hidden="1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69"/>
      <c r="R5" s="69"/>
      <c r="S5" s="69"/>
      <c r="T5" s="69"/>
      <c r="U5" s="69"/>
      <c r="V5" s="7">
        <v>1</v>
      </c>
      <c r="W5" s="7">
        <v>2</v>
      </c>
      <c r="X5" s="7">
        <v>3</v>
      </c>
      <c r="Y5" s="7">
        <v>4</v>
      </c>
      <c r="Z5" s="7">
        <v>5</v>
      </c>
      <c r="AA5" s="7">
        <v>6</v>
      </c>
      <c r="AB5" s="7">
        <v>7</v>
      </c>
      <c r="AC5" s="7">
        <v>8</v>
      </c>
      <c r="AD5" s="7">
        <v>9</v>
      </c>
      <c r="AE5" s="7">
        <v>10</v>
      </c>
      <c r="AF5" s="7">
        <v>11</v>
      </c>
      <c r="AG5" s="7">
        <v>12</v>
      </c>
      <c r="AH5" s="8">
        <v>13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6"/>
      <c r="BJ5" s="6"/>
      <c r="BK5" s="6"/>
      <c r="BL5" s="6"/>
      <c r="BM5" s="6"/>
      <c r="BN5" s="6"/>
      <c r="BO5" s="6"/>
      <c r="BP5" s="6"/>
    </row>
    <row r="6" spans="1:34" ht="16.5" customHeight="1">
      <c r="A6" s="129" t="s">
        <v>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9" t="s">
        <v>20</v>
      </c>
      <c r="W6" s="9" t="s">
        <v>21</v>
      </c>
      <c r="X6" s="9" t="s">
        <v>22</v>
      </c>
      <c r="Y6" s="9" t="s">
        <v>23</v>
      </c>
      <c r="Z6" s="9" t="s">
        <v>24</v>
      </c>
      <c r="AA6" s="9" t="s">
        <v>25</v>
      </c>
      <c r="AB6" s="9" t="s">
        <v>26</v>
      </c>
      <c r="AC6" s="9" t="s">
        <v>27</v>
      </c>
      <c r="AD6" s="9" t="s">
        <v>28</v>
      </c>
      <c r="AE6" s="9" t="s">
        <v>29</v>
      </c>
      <c r="AF6" s="9" t="s">
        <v>30</v>
      </c>
      <c r="AG6" s="9" t="s">
        <v>31</v>
      </c>
      <c r="AH6" s="9" t="s">
        <v>33</v>
      </c>
    </row>
    <row r="7" spans="1:34" ht="16.5" customHeight="1">
      <c r="A7" s="57" t="s">
        <v>46</v>
      </c>
      <c r="B7" s="143" t="s">
        <v>89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11">
        <f>IF(SUM(V7:AG7)=0,"",SUM(V7:AG7))</f>
      </c>
    </row>
    <row r="8" spans="1:34" ht="16.5" customHeight="1">
      <c r="A8" s="58" t="s">
        <v>47</v>
      </c>
      <c r="B8" s="143" t="s">
        <v>90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11">
        <f aca="true" t="shared" si="0" ref="AH8:AH18">IF(SUM(V8:AG8)=0,"",SUM(V8:AG8))</f>
      </c>
    </row>
    <row r="9" spans="1:34" ht="16.5" customHeight="1">
      <c r="A9" s="58" t="s">
        <v>39</v>
      </c>
      <c r="B9" s="128" t="s">
        <v>91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11">
        <f t="shared" si="0"/>
      </c>
    </row>
    <row r="10" spans="1:34" ht="16.5" customHeight="1">
      <c r="A10" s="43" t="s">
        <v>40</v>
      </c>
      <c r="B10" s="143" t="s">
        <v>62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1">
        <f t="shared" si="0"/>
      </c>
    </row>
    <row r="11" spans="1:34" ht="16.5" customHeight="1">
      <c r="A11" s="43" t="s">
        <v>41</v>
      </c>
      <c r="B11" s="127" t="s">
        <v>92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11">
        <f t="shared" si="0"/>
      </c>
    </row>
    <row r="12" spans="1:34" ht="16.5" customHeight="1">
      <c r="A12" s="44" t="s">
        <v>42</v>
      </c>
      <c r="B12" s="130" t="s">
        <v>114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83">
        <f>IF(SUM(V7:V11)=0,"",SUM(V7:V11))</f>
      </c>
      <c r="W12" s="83">
        <f>IF(SUM(W7:W11)=0,"",SUM(W7:W11))</f>
      </c>
      <c r="X12" s="78">
        <f>IF(SUM(X7:X11)=0,"",SUM(X7:X11))</f>
      </c>
      <c r="Y12" s="78">
        <f aca="true" t="shared" si="1" ref="Y12:AG12">IF(SUM(Y7:Y11)=0,"",SUM(Y7:Y11))</f>
      </c>
      <c r="Z12" s="78">
        <f t="shared" si="1"/>
      </c>
      <c r="AA12" s="78">
        <f t="shared" si="1"/>
      </c>
      <c r="AB12" s="78">
        <f t="shared" si="1"/>
      </c>
      <c r="AC12" s="78">
        <f t="shared" si="1"/>
      </c>
      <c r="AD12" s="78">
        <f t="shared" si="1"/>
      </c>
      <c r="AE12" s="78">
        <f t="shared" si="1"/>
      </c>
      <c r="AF12" s="78">
        <f t="shared" si="1"/>
      </c>
      <c r="AG12" s="78">
        <f t="shared" si="1"/>
      </c>
      <c r="AH12" s="78">
        <f>IF(SUM(AH7:AH11)=0,"",SUM(AH7:AH11))</f>
      </c>
    </row>
    <row r="13" spans="1:34" ht="16.5" customHeight="1">
      <c r="A13" s="43" t="s">
        <v>43</v>
      </c>
      <c r="B13" s="127" t="s">
        <v>63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11">
        <f t="shared" si="0"/>
      </c>
    </row>
    <row r="14" spans="1:34" ht="16.5" customHeight="1">
      <c r="A14" s="43" t="s">
        <v>44</v>
      </c>
      <c r="B14" s="127" t="s">
        <v>90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11">
        <f t="shared" si="0"/>
      </c>
    </row>
    <row r="15" spans="1:34" ht="16.5" customHeight="1">
      <c r="A15" s="43" t="s">
        <v>45</v>
      </c>
      <c r="B15" s="127" t="s">
        <v>64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11">
        <f t="shared" si="0"/>
      </c>
    </row>
    <row r="16" spans="1:34" ht="16.5" customHeight="1">
      <c r="A16" s="45" t="s">
        <v>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11">
        <f t="shared" si="0"/>
      </c>
    </row>
    <row r="17" spans="1:34" ht="16.5" customHeight="1">
      <c r="A17" s="45" t="s">
        <v>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11">
        <f t="shared" si="0"/>
      </c>
    </row>
    <row r="18" spans="1:34" ht="16.5" customHeight="1">
      <c r="A18" s="43" t="s">
        <v>48</v>
      </c>
      <c r="B18" s="128" t="s">
        <v>65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11">
        <f t="shared" si="0"/>
      </c>
    </row>
    <row r="19" spans="1:34" ht="16.5" customHeight="1">
      <c r="A19" s="59" t="s">
        <v>49</v>
      </c>
      <c r="B19" s="132" t="s">
        <v>66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9">
        <f>IF(SUM(V12:V18)=0,"",SUM(V12:V18))</f>
      </c>
      <c r="W19" s="19">
        <f>IF(SUM(W12:W18)=0,"",SUM(W12:W18))</f>
      </c>
      <c r="X19" s="13">
        <f>IF(SUM(X12:X18)=0,"",SUM(X12:X18))</f>
      </c>
      <c r="Y19" s="13">
        <f aca="true" t="shared" si="2" ref="Y19:AG19">IF(SUM(Y12:Y18)=0,"",SUM(Y12:Y18))</f>
      </c>
      <c r="Z19" s="13">
        <f t="shared" si="2"/>
      </c>
      <c r="AA19" s="13">
        <f t="shared" si="2"/>
      </c>
      <c r="AB19" s="13">
        <f t="shared" si="2"/>
      </c>
      <c r="AC19" s="13">
        <f t="shared" si="2"/>
      </c>
      <c r="AD19" s="13">
        <f t="shared" si="2"/>
      </c>
      <c r="AE19" s="13">
        <f t="shared" si="2"/>
      </c>
      <c r="AF19" s="13">
        <f t="shared" si="2"/>
      </c>
      <c r="AG19" s="13">
        <f t="shared" si="2"/>
      </c>
      <c r="AH19" s="13">
        <f>IF(SUM(AH12:AH18)=0,"",SUM(AH12:AH18))</f>
      </c>
    </row>
    <row r="20" spans="1:34" ht="16.5" customHeight="1">
      <c r="A20" s="60" t="s">
        <v>3</v>
      </c>
      <c r="B20" s="133" t="s">
        <v>67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47"/>
      <c r="W20" s="20">
        <f>IF(V20="","",V37)</f>
      </c>
      <c r="X20" s="20">
        <f aca="true" t="shared" si="3" ref="X20:AG20">IF(W20="","",W37)</f>
      </c>
      <c r="Y20" s="20">
        <f t="shared" si="3"/>
      </c>
      <c r="Z20" s="20">
        <f t="shared" si="3"/>
      </c>
      <c r="AA20" s="20">
        <f t="shared" si="3"/>
      </c>
      <c r="AB20" s="20">
        <f t="shared" si="3"/>
      </c>
      <c r="AC20" s="20">
        <f t="shared" si="3"/>
      </c>
      <c r="AD20" s="20">
        <f t="shared" si="3"/>
      </c>
      <c r="AE20" s="20">
        <f t="shared" si="3"/>
      </c>
      <c r="AF20" s="20">
        <f t="shared" si="3"/>
      </c>
      <c r="AG20" s="20">
        <f t="shared" si="3"/>
      </c>
      <c r="AH20" s="11">
        <f>IF(V20="","",V20)</f>
      </c>
    </row>
    <row r="21" spans="1:34" ht="16.5" customHeight="1">
      <c r="A21" s="61" t="s">
        <v>4</v>
      </c>
      <c r="B21" s="151" t="s">
        <v>68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48">
        <f>IF(SUM(V19:V20)=0,0,SUM(V19:V20))</f>
        <v>0</v>
      </c>
      <c r="W21" s="48">
        <f aca="true" t="shared" si="4" ref="W21:AG21">IF(SUM(W19:W20)=0,0,SUM(W19:W20))</f>
        <v>0</v>
      </c>
      <c r="X21" s="48">
        <f t="shared" si="4"/>
        <v>0</v>
      </c>
      <c r="Y21" s="48">
        <f t="shared" si="4"/>
        <v>0</v>
      </c>
      <c r="Z21" s="48">
        <f t="shared" si="4"/>
        <v>0</v>
      </c>
      <c r="AA21" s="48">
        <f t="shared" si="4"/>
        <v>0</v>
      </c>
      <c r="AB21" s="48">
        <f t="shared" si="4"/>
        <v>0</v>
      </c>
      <c r="AC21" s="48">
        <f t="shared" si="4"/>
        <v>0</v>
      </c>
      <c r="AD21" s="48">
        <f t="shared" si="4"/>
        <v>0</v>
      </c>
      <c r="AE21" s="48">
        <f t="shared" si="4"/>
        <v>0</v>
      </c>
      <c r="AF21" s="48">
        <f t="shared" si="4"/>
        <v>0</v>
      </c>
      <c r="AG21" s="48">
        <f t="shared" si="4"/>
        <v>0</v>
      </c>
      <c r="AH21" s="14">
        <f>IF(SUM(AH19:AH20)=0,"",SUM(AH19:AH20))</f>
      </c>
    </row>
    <row r="22" ht="16.5" customHeight="1"/>
    <row r="23" spans="1:34" ht="16.5" customHeight="1">
      <c r="A23" s="129" t="s">
        <v>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5" t="s">
        <v>20</v>
      </c>
      <c r="W23" s="15" t="s">
        <v>21</v>
      </c>
      <c r="X23" s="15" t="s">
        <v>22</v>
      </c>
      <c r="Y23" s="15" t="s">
        <v>23</v>
      </c>
      <c r="Z23" s="15" t="s">
        <v>24</v>
      </c>
      <c r="AA23" s="15" t="s">
        <v>25</v>
      </c>
      <c r="AB23" s="15" t="s">
        <v>26</v>
      </c>
      <c r="AC23" s="15" t="s">
        <v>27</v>
      </c>
      <c r="AD23" s="15" t="s">
        <v>28</v>
      </c>
      <c r="AE23" s="15" t="s">
        <v>29</v>
      </c>
      <c r="AF23" s="15" t="s">
        <v>30</v>
      </c>
      <c r="AG23" s="15" t="s">
        <v>31</v>
      </c>
      <c r="AH23" s="15" t="s">
        <v>33</v>
      </c>
    </row>
    <row r="24" spans="1:34" ht="16.5" customHeight="1">
      <c r="A24" s="57" t="s">
        <v>51</v>
      </c>
      <c r="B24" s="143" t="s">
        <v>93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11">
        <f>IF(SUM(V24:AG24)=0,"",SUM(V24:AG24))</f>
      </c>
    </row>
    <row r="25" spans="1:34" ht="16.5" customHeight="1">
      <c r="A25" s="41" t="s">
        <v>52</v>
      </c>
      <c r="B25" s="128" t="s">
        <v>94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11">
        <f aca="true" t="shared" si="5" ref="AH25:AH31">IF(SUM(V25:AG25)=0,"",SUM(V25:AG25))</f>
      </c>
    </row>
    <row r="26" spans="1:34" ht="16.5" customHeight="1">
      <c r="A26" s="46" t="s">
        <v>34</v>
      </c>
      <c r="B26" s="128" t="s">
        <v>95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1">
        <f t="shared" si="5"/>
      </c>
    </row>
    <row r="27" spans="1:34" ht="16.5" customHeight="1">
      <c r="A27" s="41" t="s">
        <v>53</v>
      </c>
      <c r="B27" s="128" t="s">
        <v>96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1">
        <f t="shared" si="5"/>
      </c>
    </row>
    <row r="28" spans="1:34" ht="16.5" customHeight="1">
      <c r="A28" s="41" t="s">
        <v>54</v>
      </c>
      <c r="B28" s="128" t="s">
        <v>97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11">
        <f t="shared" si="5"/>
      </c>
    </row>
    <row r="29" spans="1:34" ht="16.5" customHeight="1">
      <c r="A29" s="46" t="s">
        <v>35</v>
      </c>
      <c r="B29" s="131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11">
        <f t="shared" si="5"/>
      </c>
    </row>
    <row r="30" spans="1:34" ht="16.5" customHeight="1">
      <c r="A30" s="46" t="s">
        <v>36</v>
      </c>
      <c r="B30" s="13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11">
        <f t="shared" si="5"/>
      </c>
    </row>
    <row r="31" spans="1:34" ht="16.5" customHeight="1">
      <c r="A31" s="46" t="s">
        <v>16</v>
      </c>
      <c r="B31" s="127" t="s">
        <v>187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11">
        <f t="shared" si="5"/>
      </c>
    </row>
    <row r="32" spans="1:34" ht="16.5" customHeight="1">
      <c r="A32" s="62" t="s">
        <v>55</v>
      </c>
      <c r="B32" s="132" t="s">
        <v>186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21">
        <f>IF(V12="","",ROUNDDOWN(V12*0.025,2))</f>
      </c>
      <c r="W32" s="21">
        <f aca="true" t="shared" si="6" ref="W32:AG32">IF(W12="","",ROUNDDOWN(W12*0.025,2))</f>
      </c>
      <c r="X32" s="21">
        <f t="shared" si="6"/>
      </c>
      <c r="Y32" s="21">
        <f t="shared" si="6"/>
      </c>
      <c r="Z32" s="21">
        <f t="shared" si="6"/>
      </c>
      <c r="AA32" s="21">
        <f t="shared" si="6"/>
      </c>
      <c r="AB32" s="21">
        <f t="shared" si="6"/>
      </c>
      <c r="AC32" s="21">
        <f t="shared" si="6"/>
      </c>
      <c r="AD32" s="21">
        <f t="shared" si="6"/>
      </c>
      <c r="AE32" s="21">
        <f t="shared" si="6"/>
      </c>
      <c r="AF32" s="21">
        <f t="shared" si="6"/>
      </c>
      <c r="AG32" s="21">
        <f t="shared" si="6"/>
      </c>
      <c r="AH32" s="16">
        <f>IF(AH12="","",SUM(V32:AG32))</f>
      </c>
    </row>
    <row r="33" spans="1:34" ht="16.5" customHeight="1">
      <c r="A33" s="57" t="s">
        <v>56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11">
        <f>IF(SUM(V33:AG33)=0,"",SUM(V33:AG33))</f>
      </c>
    </row>
    <row r="34" spans="1:34" ht="16.5" customHeight="1">
      <c r="A34" s="46" t="s">
        <v>37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11">
        <f>IF(SUM(V34:AG34)=0,"",SUM(V34:AG34))</f>
      </c>
    </row>
    <row r="35" spans="1:34" ht="16.5" customHeight="1">
      <c r="A35" s="57" t="s">
        <v>50</v>
      </c>
      <c r="B35" s="143" t="s">
        <v>69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71"/>
      <c r="W35" s="123">
        <f>IF(W18="","",W18)</f>
      </c>
      <c r="X35" s="123">
        <f aca="true" t="shared" si="7" ref="X35:AF35">IF(X18="","",X18)</f>
      </c>
      <c r="Y35" s="123">
        <f t="shared" si="7"/>
      </c>
      <c r="Z35" s="123">
        <f t="shared" si="7"/>
      </c>
      <c r="AA35" s="123">
        <f t="shared" si="7"/>
      </c>
      <c r="AB35" s="123">
        <f t="shared" si="7"/>
      </c>
      <c r="AC35" s="123">
        <f t="shared" si="7"/>
      </c>
      <c r="AD35" s="123">
        <f t="shared" si="7"/>
      </c>
      <c r="AE35" s="123">
        <f t="shared" si="7"/>
      </c>
      <c r="AF35" s="123">
        <f t="shared" si="7"/>
      </c>
      <c r="AG35" s="123"/>
      <c r="AH35" s="11">
        <f>IF(SUM(V35:AG35)=0,"",SUM(V35:AG35))</f>
      </c>
    </row>
    <row r="36" spans="1:34" ht="16.5" customHeight="1">
      <c r="A36" s="59" t="s">
        <v>57</v>
      </c>
      <c r="B36" s="132" t="s">
        <v>192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22">
        <f>IF(SUM(V24:V35)=0,0,SUM(V24:V31,V33:V35))</f>
        <v>0</v>
      </c>
      <c r="W36" s="22">
        <f aca="true" t="shared" si="8" ref="W36:AG36">IF(SUM(W24:W35)=0,0,SUM(W24:W31,W33:W35))</f>
        <v>0</v>
      </c>
      <c r="X36" s="22">
        <f t="shared" si="8"/>
        <v>0</v>
      </c>
      <c r="Y36" s="22">
        <f t="shared" si="8"/>
        <v>0</v>
      </c>
      <c r="Z36" s="22">
        <f t="shared" si="8"/>
        <v>0</v>
      </c>
      <c r="AA36" s="22">
        <f t="shared" si="8"/>
        <v>0</v>
      </c>
      <c r="AB36" s="22">
        <f t="shared" si="8"/>
        <v>0</v>
      </c>
      <c r="AC36" s="22">
        <f t="shared" si="8"/>
        <v>0</v>
      </c>
      <c r="AD36" s="22">
        <f t="shared" si="8"/>
        <v>0</v>
      </c>
      <c r="AE36" s="22">
        <f t="shared" si="8"/>
        <v>0</v>
      </c>
      <c r="AF36" s="22">
        <f t="shared" si="8"/>
        <v>0</v>
      </c>
      <c r="AG36" s="22">
        <f t="shared" si="8"/>
        <v>0</v>
      </c>
      <c r="AH36" s="11">
        <f>IF(SUM(V36:AG36)=0,"",SUM(V36:AG36))</f>
      </c>
    </row>
    <row r="37" spans="1:34" ht="16.5" customHeight="1">
      <c r="A37" s="59" t="s">
        <v>58</v>
      </c>
      <c r="B37" s="132" t="s">
        <v>70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22">
        <f>IF(V20="","",SUM(V21-V36))</f>
      </c>
      <c r="W37" s="22">
        <f aca="true" t="shared" si="9" ref="W37:AG37">IF(W20="","",SUM(W21-W36))</f>
      </c>
      <c r="X37" s="22">
        <f t="shared" si="9"/>
      </c>
      <c r="Y37" s="22">
        <f t="shared" si="9"/>
      </c>
      <c r="Z37" s="22">
        <f t="shared" si="9"/>
      </c>
      <c r="AA37" s="22">
        <f t="shared" si="9"/>
      </c>
      <c r="AB37" s="22">
        <f t="shared" si="9"/>
      </c>
      <c r="AC37" s="22">
        <f t="shared" si="9"/>
      </c>
      <c r="AD37" s="22">
        <f t="shared" si="9"/>
      </c>
      <c r="AE37" s="22">
        <f t="shared" si="9"/>
      </c>
      <c r="AF37" s="22">
        <f t="shared" si="9"/>
      </c>
      <c r="AG37" s="22">
        <f t="shared" si="9"/>
      </c>
      <c r="AH37" s="22">
        <f>IF(AH36="","",SUM(AH21-AH36))</f>
      </c>
    </row>
    <row r="38" spans="1:34" ht="16.5" customHeight="1">
      <c r="A38" s="61" t="s">
        <v>59</v>
      </c>
      <c r="B38" s="151" t="s">
        <v>71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8">
        <f>IF(SUM(V36:V37)=0,"",SUM(V36:V37))</f>
      </c>
      <c r="W38" s="18">
        <f aca="true" t="shared" si="10" ref="W38:AH38">IF(SUM(W36:W37)=0,"",SUM(W36:W37))</f>
      </c>
      <c r="X38" s="18">
        <f t="shared" si="10"/>
      </c>
      <c r="Y38" s="18">
        <f t="shared" si="10"/>
      </c>
      <c r="Z38" s="18">
        <f t="shared" si="10"/>
      </c>
      <c r="AA38" s="18">
        <f t="shared" si="10"/>
      </c>
      <c r="AB38" s="18">
        <f t="shared" si="10"/>
      </c>
      <c r="AC38" s="18">
        <f t="shared" si="10"/>
      </c>
      <c r="AD38" s="18">
        <f t="shared" si="10"/>
      </c>
      <c r="AE38" s="18">
        <f t="shared" si="10"/>
      </c>
      <c r="AF38" s="18">
        <f t="shared" si="10"/>
      </c>
      <c r="AG38" s="18">
        <f t="shared" si="10"/>
      </c>
      <c r="AH38" s="18">
        <f t="shared" si="10"/>
      </c>
    </row>
    <row r="40" spans="7:34" ht="14.25">
      <c r="G40" s="167" t="s">
        <v>87</v>
      </c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9"/>
      <c r="V40" s="7">
        <v>1</v>
      </c>
      <c r="W40" s="7">
        <v>2</v>
      </c>
      <c r="X40" s="7">
        <v>3</v>
      </c>
      <c r="Y40" s="7">
        <v>4</v>
      </c>
      <c r="Z40" s="7">
        <v>5</v>
      </c>
      <c r="AA40" s="7">
        <v>6</v>
      </c>
      <c r="AB40" s="7">
        <v>7</v>
      </c>
      <c r="AC40" s="7">
        <v>8</v>
      </c>
      <c r="AD40" s="7">
        <v>9</v>
      </c>
      <c r="AE40" s="7">
        <v>10</v>
      </c>
      <c r="AF40" s="7">
        <v>11</v>
      </c>
      <c r="AG40" s="7">
        <v>12</v>
      </c>
      <c r="AH40" s="8">
        <v>13</v>
      </c>
    </row>
    <row r="41" spans="7:34" ht="14.25">
      <c r="G41" s="170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2"/>
      <c r="V41" s="55" t="s">
        <v>20</v>
      </c>
      <c r="W41" s="15" t="s">
        <v>21</v>
      </c>
      <c r="X41" s="15" t="s">
        <v>22</v>
      </c>
      <c r="Y41" s="15" t="s">
        <v>23</v>
      </c>
      <c r="Z41" s="15" t="s">
        <v>24</v>
      </c>
      <c r="AA41" s="15" t="s">
        <v>25</v>
      </c>
      <c r="AB41" s="15" t="s">
        <v>26</v>
      </c>
      <c r="AC41" s="15" t="s">
        <v>27</v>
      </c>
      <c r="AD41" s="15" t="s">
        <v>28</v>
      </c>
      <c r="AE41" s="15" t="s">
        <v>29</v>
      </c>
      <c r="AF41" s="15" t="s">
        <v>30</v>
      </c>
      <c r="AG41" s="15" t="s">
        <v>31</v>
      </c>
      <c r="AH41" s="15" t="s">
        <v>75</v>
      </c>
    </row>
    <row r="42" spans="7:35" ht="15">
      <c r="G42" s="161" t="s">
        <v>101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3"/>
      <c r="T42" s="80"/>
      <c r="U42" s="81" t="s">
        <v>123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40"/>
    </row>
    <row r="43" spans="7:35" ht="15">
      <c r="G43" s="164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73"/>
      <c r="U43" s="75" t="s">
        <v>124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40"/>
    </row>
    <row r="44" spans="7:35" ht="15">
      <c r="G44" s="173" t="s">
        <v>125</v>
      </c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5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40"/>
    </row>
    <row r="45" spans="7:35" ht="15">
      <c r="G45" s="173" t="s">
        <v>126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5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40"/>
    </row>
    <row r="46" spans="7:35" ht="15">
      <c r="G46" s="173" t="s">
        <v>127</v>
      </c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5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40"/>
    </row>
    <row r="47" spans="7:61" ht="15">
      <c r="G47" s="158" t="s">
        <v>76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60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56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40"/>
      <c r="BC47" s="40"/>
      <c r="BD47" s="40"/>
      <c r="BE47" s="40"/>
      <c r="BF47" s="40"/>
      <c r="BG47" s="40"/>
      <c r="BH47" s="40"/>
      <c r="BI47" s="40"/>
    </row>
    <row r="48" spans="7:61" ht="15" customHeight="1">
      <c r="G48" s="155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7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54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40"/>
      <c r="BC48" s="40"/>
      <c r="BD48" s="40"/>
      <c r="BE48" s="40"/>
      <c r="BF48" s="40"/>
      <c r="BG48" s="40"/>
      <c r="BH48" s="40"/>
      <c r="BI48" s="40"/>
    </row>
    <row r="49" spans="7:61" ht="15" customHeight="1">
      <c r="G49" s="155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7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40"/>
      <c r="BC49" s="40"/>
      <c r="BD49" s="40"/>
      <c r="BE49" s="40"/>
      <c r="BF49" s="40"/>
      <c r="BG49" s="40"/>
      <c r="BH49" s="40"/>
      <c r="BI49" s="40"/>
    </row>
    <row r="50" spans="7:61" ht="15" customHeight="1">
      <c r="G50" s="155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7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10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</row>
    <row r="51" spans="7:61" ht="15" customHeight="1">
      <c r="G51" s="155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7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</row>
    <row r="52" spans="7:61" ht="15" customHeight="1">
      <c r="G52" s="155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7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94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</row>
    <row r="53" spans="7:61" ht="15" customHeight="1">
      <c r="G53" s="155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7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94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</row>
    <row r="54" spans="35:61" ht="12.75"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</row>
    <row r="55" spans="7:61" ht="15" hidden="1"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5" t="str">
        <f>U42</f>
        <v>Homens</v>
      </c>
      <c r="V55" s="100">
        <f aca="true" t="shared" si="11" ref="V55:V66">IF(V42="","",V42)</f>
      </c>
      <c r="W55" s="100">
        <f aca="true" t="shared" si="12" ref="W55:AH55">IF(W42="",V55,W42)</f>
      </c>
      <c r="X55" s="100">
        <f t="shared" si="12"/>
      </c>
      <c r="Y55" s="100">
        <f t="shared" si="12"/>
      </c>
      <c r="Z55" s="100">
        <f t="shared" si="12"/>
      </c>
      <c r="AA55" s="100">
        <f t="shared" si="12"/>
      </c>
      <c r="AB55" s="100">
        <f t="shared" si="12"/>
      </c>
      <c r="AC55" s="100">
        <f t="shared" si="12"/>
      </c>
      <c r="AD55" s="100">
        <f t="shared" si="12"/>
      </c>
      <c r="AE55" s="100">
        <f t="shared" si="12"/>
      </c>
      <c r="AF55" s="100">
        <f t="shared" si="12"/>
      </c>
      <c r="AG55" s="100">
        <f t="shared" si="12"/>
      </c>
      <c r="AH55" s="100">
        <f t="shared" si="12"/>
      </c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</row>
    <row r="56" spans="7:61" ht="15" hidden="1"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5" t="str">
        <f>U43</f>
        <v>Mulheres</v>
      </c>
      <c r="V56" s="100">
        <f t="shared" si="11"/>
      </c>
      <c r="W56" s="100">
        <f aca="true" t="shared" si="13" ref="W56:AH56">IF(W43="",V56,W43)</f>
      </c>
      <c r="X56" s="100">
        <f t="shared" si="13"/>
      </c>
      <c r="Y56" s="100">
        <f t="shared" si="13"/>
      </c>
      <c r="Z56" s="100">
        <f t="shared" si="13"/>
      </c>
      <c r="AA56" s="100">
        <f t="shared" si="13"/>
      </c>
      <c r="AB56" s="100">
        <f t="shared" si="13"/>
      </c>
      <c r="AC56" s="100">
        <f t="shared" si="13"/>
      </c>
      <c r="AD56" s="100">
        <f t="shared" si="13"/>
      </c>
      <c r="AE56" s="100">
        <f t="shared" si="13"/>
      </c>
      <c r="AF56" s="100">
        <f t="shared" si="13"/>
      </c>
      <c r="AG56" s="100">
        <f t="shared" si="13"/>
      </c>
      <c r="AH56" s="100">
        <f t="shared" si="13"/>
      </c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</row>
    <row r="57" spans="7:61" ht="15" hidden="1">
      <c r="G57" s="173" t="str">
        <f>G44</f>
        <v>Faixa etária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  <c r="V57" s="100">
        <f t="shared" si="11"/>
      </c>
      <c r="W57" s="100">
        <f aca="true" t="shared" si="14" ref="W57:AH57">IF(W44="",V57,W44)</f>
      </c>
      <c r="X57" s="100">
        <f t="shared" si="14"/>
      </c>
      <c r="Y57" s="100">
        <f t="shared" si="14"/>
      </c>
      <c r="Z57" s="100">
        <f t="shared" si="14"/>
      </c>
      <c r="AA57" s="100">
        <f t="shared" si="14"/>
      </c>
      <c r="AB57" s="100">
        <f t="shared" si="14"/>
      </c>
      <c r="AC57" s="100">
        <f t="shared" si="14"/>
      </c>
      <c r="AD57" s="100">
        <f t="shared" si="14"/>
      </c>
      <c r="AE57" s="100">
        <f t="shared" si="14"/>
      </c>
      <c r="AF57" s="100">
        <f t="shared" si="14"/>
      </c>
      <c r="AG57" s="100">
        <f t="shared" si="14"/>
      </c>
      <c r="AH57" s="100">
        <f t="shared" si="14"/>
      </c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</row>
    <row r="58" spans="7:61" ht="15" hidden="1">
      <c r="G58" s="173" t="str">
        <f aca="true" t="shared" si="15" ref="G58:G66">G45</f>
        <v>Número de Funcionários</v>
      </c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5"/>
      <c r="V58" s="100">
        <f t="shared" si="11"/>
      </c>
      <c r="W58" s="100">
        <f aca="true" t="shared" si="16" ref="W58:AH58">IF(W45="",V58,W45)</f>
      </c>
      <c r="X58" s="100">
        <f t="shared" si="16"/>
      </c>
      <c r="Y58" s="100">
        <f t="shared" si="16"/>
      </c>
      <c r="Z58" s="100">
        <f t="shared" si="16"/>
      </c>
      <c r="AA58" s="100">
        <f t="shared" si="16"/>
      </c>
      <c r="AB58" s="100">
        <f t="shared" si="16"/>
      </c>
      <c r="AC58" s="100">
        <f t="shared" si="16"/>
      </c>
      <c r="AD58" s="100">
        <f t="shared" si="16"/>
      </c>
      <c r="AE58" s="100">
        <f t="shared" si="16"/>
      </c>
      <c r="AF58" s="100">
        <f t="shared" si="16"/>
      </c>
      <c r="AG58" s="100">
        <f t="shared" si="16"/>
      </c>
      <c r="AH58" s="100">
        <f t="shared" si="16"/>
      </c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</row>
    <row r="59" spans="7:35" ht="15" hidden="1">
      <c r="G59" s="173" t="str">
        <f t="shared" si="15"/>
        <v>Número de voluntários</v>
      </c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5"/>
      <c r="V59" s="100">
        <f t="shared" si="11"/>
      </c>
      <c r="W59" s="100">
        <f aca="true" t="shared" si="17" ref="W59:AH59">IF(W46="",V59,W46)</f>
      </c>
      <c r="X59" s="100">
        <f t="shared" si="17"/>
      </c>
      <c r="Y59" s="100">
        <f t="shared" si="17"/>
      </c>
      <c r="Z59" s="100">
        <f t="shared" si="17"/>
      </c>
      <c r="AA59" s="100">
        <f t="shared" si="17"/>
      </c>
      <c r="AB59" s="100">
        <f t="shared" si="17"/>
      </c>
      <c r="AC59" s="100">
        <f t="shared" si="17"/>
      </c>
      <c r="AD59" s="100">
        <f t="shared" si="17"/>
      </c>
      <c r="AE59" s="100">
        <f t="shared" si="17"/>
      </c>
      <c r="AF59" s="100">
        <f t="shared" si="17"/>
      </c>
      <c r="AG59" s="100">
        <f t="shared" si="17"/>
      </c>
      <c r="AH59" s="100">
        <f t="shared" si="17"/>
      </c>
      <c r="AI59" s="40"/>
    </row>
    <row r="60" spans="7:35" ht="15" hidden="1">
      <c r="G60" s="173" t="str">
        <f t="shared" si="15"/>
        <v>Total de Alimentos Doados em Kg</v>
      </c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5"/>
      <c r="V60" s="100">
        <f t="shared" si="11"/>
      </c>
      <c r="W60" s="100">
        <f aca="true" t="shared" si="18" ref="W60:W66">IF(W47="","",W47)</f>
      </c>
      <c r="X60" s="100">
        <f aca="true" t="shared" si="19" ref="X60:AG60">IF(X47="","",X47)</f>
      </c>
      <c r="Y60" s="100">
        <f t="shared" si="19"/>
      </c>
      <c r="Z60" s="100">
        <f t="shared" si="19"/>
      </c>
      <c r="AA60" s="100">
        <f t="shared" si="19"/>
      </c>
      <c r="AB60" s="100">
        <f t="shared" si="19"/>
      </c>
      <c r="AC60" s="100">
        <f t="shared" si="19"/>
      </c>
      <c r="AD60" s="100">
        <f t="shared" si="19"/>
      </c>
      <c r="AE60" s="100">
        <f t="shared" si="19"/>
      </c>
      <c r="AF60" s="100">
        <f t="shared" si="19"/>
      </c>
      <c r="AG60" s="100">
        <f t="shared" si="19"/>
      </c>
      <c r="AH60" s="100">
        <f>IF(SUM(V60:AG60)=0,"",SUM(V60:AG60))</f>
      </c>
      <c r="AI60" s="40"/>
    </row>
    <row r="61" spans="7:35" ht="15" hidden="1">
      <c r="G61" s="173">
        <f t="shared" si="15"/>
        <v>0</v>
      </c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5"/>
      <c r="V61" s="100">
        <f t="shared" si="11"/>
      </c>
      <c r="W61" s="100">
        <f t="shared" si="18"/>
      </c>
      <c r="X61" s="100">
        <f aca="true" t="shared" si="20" ref="X61:AG61">IF(X48="","",X48)</f>
      </c>
      <c r="Y61" s="100">
        <f t="shared" si="20"/>
      </c>
      <c r="Z61" s="100">
        <f t="shared" si="20"/>
      </c>
      <c r="AA61" s="100">
        <f t="shared" si="20"/>
      </c>
      <c r="AB61" s="100">
        <f t="shared" si="20"/>
      </c>
      <c r="AC61" s="100">
        <f t="shared" si="20"/>
      </c>
      <c r="AD61" s="100">
        <f t="shared" si="20"/>
      </c>
      <c r="AE61" s="100">
        <f t="shared" si="20"/>
      </c>
      <c r="AF61" s="100">
        <f t="shared" si="20"/>
      </c>
      <c r="AG61" s="100">
        <f t="shared" si="20"/>
      </c>
      <c r="AH61" s="100">
        <f aca="true" t="shared" si="21" ref="AH61:AH66">IF(SUM(V61:AG61)=0,"",SUM(V61:AG61))</f>
      </c>
      <c r="AI61" s="40"/>
    </row>
    <row r="62" spans="7:35" ht="15" hidden="1">
      <c r="G62" s="173">
        <f t="shared" si="15"/>
        <v>0</v>
      </c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5"/>
      <c r="V62" s="100">
        <f t="shared" si="11"/>
      </c>
      <c r="W62" s="100">
        <f t="shared" si="18"/>
      </c>
      <c r="X62" s="100">
        <f aca="true" t="shared" si="22" ref="X62:AG62">IF(X49="","",X49)</f>
      </c>
      <c r="Y62" s="100">
        <f t="shared" si="22"/>
      </c>
      <c r="Z62" s="100">
        <f t="shared" si="22"/>
      </c>
      <c r="AA62" s="100">
        <f t="shared" si="22"/>
      </c>
      <c r="AB62" s="100">
        <f t="shared" si="22"/>
      </c>
      <c r="AC62" s="100">
        <f t="shared" si="22"/>
      </c>
      <c r="AD62" s="100">
        <f t="shared" si="22"/>
      </c>
      <c r="AE62" s="100">
        <f t="shared" si="22"/>
      </c>
      <c r="AF62" s="100">
        <f t="shared" si="22"/>
      </c>
      <c r="AG62" s="100">
        <f t="shared" si="22"/>
      </c>
      <c r="AH62" s="100">
        <f t="shared" si="21"/>
      </c>
      <c r="AI62" s="40"/>
    </row>
    <row r="63" spans="7:34" ht="15" hidden="1">
      <c r="G63" s="173">
        <f t="shared" si="15"/>
        <v>0</v>
      </c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5"/>
      <c r="V63" s="100">
        <f t="shared" si="11"/>
      </c>
      <c r="W63" s="100">
        <f t="shared" si="18"/>
      </c>
      <c r="X63" s="100">
        <f aca="true" t="shared" si="23" ref="X63:AG63">IF(X50="","",X50)</f>
      </c>
      <c r="Y63" s="100">
        <f t="shared" si="23"/>
      </c>
      <c r="Z63" s="100">
        <f t="shared" si="23"/>
      </c>
      <c r="AA63" s="100">
        <f t="shared" si="23"/>
      </c>
      <c r="AB63" s="100">
        <f t="shared" si="23"/>
      </c>
      <c r="AC63" s="100">
        <f t="shared" si="23"/>
      </c>
      <c r="AD63" s="100">
        <f t="shared" si="23"/>
      </c>
      <c r="AE63" s="100">
        <f t="shared" si="23"/>
      </c>
      <c r="AF63" s="100">
        <f t="shared" si="23"/>
      </c>
      <c r="AG63" s="100">
        <f t="shared" si="23"/>
      </c>
      <c r="AH63" s="100">
        <f t="shared" si="21"/>
      </c>
    </row>
    <row r="64" spans="7:34" ht="15" hidden="1">
      <c r="G64" s="173">
        <f t="shared" si="15"/>
        <v>0</v>
      </c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5"/>
      <c r="V64" s="100">
        <f t="shared" si="11"/>
      </c>
      <c r="W64" s="100">
        <f t="shared" si="18"/>
      </c>
      <c r="X64" s="100">
        <f aca="true" t="shared" si="24" ref="X64:AG64">IF(X51="","",X51)</f>
      </c>
      <c r="Y64" s="100">
        <f t="shared" si="24"/>
      </c>
      <c r="Z64" s="100">
        <f t="shared" si="24"/>
      </c>
      <c r="AA64" s="100">
        <f t="shared" si="24"/>
      </c>
      <c r="AB64" s="100">
        <f t="shared" si="24"/>
      </c>
      <c r="AC64" s="100">
        <f t="shared" si="24"/>
      </c>
      <c r="AD64" s="100">
        <f t="shared" si="24"/>
      </c>
      <c r="AE64" s="100">
        <f t="shared" si="24"/>
      </c>
      <c r="AF64" s="100">
        <f t="shared" si="24"/>
      </c>
      <c r="AG64" s="100">
        <f t="shared" si="24"/>
      </c>
      <c r="AH64" s="100">
        <f t="shared" si="21"/>
      </c>
    </row>
    <row r="65" spans="7:34" ht="15" hidden="1">
      <c r="G65" s="173">
        <f t="shared" si="15"/>
        <v>0</v>
      </c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5"/>
      <c r="V65" s="100">
        <f t="shared" si="11"/>
      </c>
      <c r="W65" s="100">
        <f t="shared" si="18"/>
      </c>
      <c r="X65" s="100">
        <f aca="true" t="shared" si="25" ref="X65:AG65">IF(X52="","",X52)</f>
      </c>
      <c r="Y65" s="100">
        <f t="shared" si="25"/>
      </c>
      <c r="Z65" s="100">
        <f t="shared" si="25"/>
      </c>
      <c r="AA65" s="100">
        <f t="shared" si="25"/>
      </c>
      <c r="AB65" s="100">
        <f t="shared" si="25"/>
      </c>
      <c r="AC65" s="100">
        <f t="shared" si="25"/>
      </c>
      <c r="AD65" s="100">
        <f t="shared" si="25"/>
      </c>
      <c r="AE65" s="100">
        <f t="shared" si="25"/>
      </c>
      <c r="AF65" s="100">
        <f t="shared" si="25"/>
      </c>
      <c r="AG65" s="100">
        <f t="shared" si="25"/>
      </c>
      <c r="AH65" s="100">
        <f t="shared" si="21"/>
      </c>
    </row>
    <row r="66" spans="7:34" ht="15" hidden="1">
      <c r="G66" s="173">
        <f t="shared" si="15"/>
        <v>0</v>
      </c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5"/>
      <c r="V66" s="100">
        <f t="shared" si="11"/>
      </c>
      <c r="W66" s="100">
        <f t="shared" si="18"/>
      </c>
      <c r="X66" s="100">
        <f aca="true" t="shared" si="26" ref="X66:AG66">IF(X53="","",X53)</f>
      </c>
      <c r="Y66" s="100">
        <f t="shared" si="26"/>
      </c>
      <c r="Z66" s="100">
        <f t="shared" si="26"/>
      </c>
      <c r="AA66" s="100">
        <f t="shared" si="26"/>
      </c>
      <c r="AB66" s="100">
        <f t="shared" si="26"/>
      </c>
      <c r="AC66" s="100">
        <f t="shared" si="26"/>
      </c>
      <c r="AD66" s="100">
        <f t="shared" si="26"/>
      </c>
      <c r="AE66" s="100">
        <f t="shared" si="26"/>
      </c>
      <c r="AF66" s="100">
        <f t="shared" si="26"/>
      </c>
      <c r="AG66" s="100">
        <f t="shared" si="26"/>
      </c>
      <c r="AH66" s="100">
        <f t="shared" si="21"/>
      </c>
    </row>
    <row r="67" spans="7:34" ht="15" hidden="1">
      <c r="G67" s="101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75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</row>
    <row r="68" spans="7:34" ht="15" hidden="1">
      <c r="G68" s="134" t="s">
        <v>86</v>
      </c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72" t="s">
        <v>21</v>
      </c>
      <c r="W68" s="72" t="s">
        <v>22</v>
      </c>
      <c r="X68" s="72" t="s">
        <v>23</v>
      </c>
      <c r="Y68" s="72" t="s">
        <v>24</v>
      </c>
      <c r="Z68" s="72" t="s">
        <v>25</v>
      </c>
      <c r="AA68" s="72" t="s">
        <v>26</v>
      </c>
      <c r="AB68" s="72" t="s">
        <v>27</v>
      </c>
      <c r="AC68" s="72" t="s">
        <v>28</v>
      </c>
      <c r="AD68" s="72" t="s">
        <v>29</v>
      </c>
      <c r="AE68" s="72" t="s">
        <v>30</v>
      </c>
      <c r="AF68" s="72" t="s">
        <v>31</v>
      </c>
      <c r="AG68" s="72" t="s">
        <v>20</v>
      </c>
      <c r="AH68" s="100"/>
    </row>
    <row r="69" ht="15" hidden="1">
      <c r="U69" s="49"/>
    </row>
    <row r="70" ht="15" hidden="1">
      <c r="U70" s="49"/>
    </row>
    <row r="71" ht="15">
      <c r="U71" s="49"/>
    </row>
    <row r="73" ht="15">
      <c r="U73" s="49"/>
    </row>
    <row r="74" ht="15">
      <c r="U74" s="49"/>
    </row>
  </sheetData>
  <sheetProtection password="D0B7" sheet="1" formatCells="0" formatColumns="0" formatRows="0"/>
  <mergeCells count="65">
    <mergeCell ref="AB2:AC2"/>
    <mergeCell ref="V3:W3"/>
    <mergeCell ref="AB1:AC1"/>
    <mergeCell ref="A3:U4"/>
    <mergeCell ref="G66:U66"/>
    <mergeCell ref="G60:U60"/>
    <mergeCell ref="G61:U61"/>
    <mergeCell ref="G62:U62"/>
    <mergeCell ref="G63:U63"/>
    <mergeCell ref="G64:U64"/>
    <mergeCell ref="G65:U65"/>
    <mergeCell ref="G46:U46"/>
    <mergeCell ref="G45:U45"/>
    <mergeCell ref="G44:U44"/>
    <mergeCell ref="G57:U57"/>
    <mergeCell ref="G58:U58"/>
    <mergeCell ref="G59:U59"/>
    <mergeCell ref="G49:U49"/>
    <mergeCell ref="G51:U51"/>
    <mergeCell ref="G48:U48"/>
    <mergeCell ref="G52:U52"/>
    <mergeCell ref="G53:U53"/>
    <mergeCell ref="G47:U47"/>
    <mergeCell ref="G42:S43"/>
    <mergeCell ref="B32:U32"/>
    <mergeCell ref="B33:U33"/>
    <mergeCell ref="G40:U41"/>
    <mergeCell ref="G50:U50"/>
    <mergeCell ref="B38:U38"/>
    <mergeCell ref="B17:U17"/>
    <mergeCell ref="B13:U13"/>
    <mergeCell ref="B14:U14"/>
    <mergeCell ref="B15:U15"/>
    <mergeCell ref="B36:U36"/>
    <mergeCell ref="B30:U30"/>
    <mergeCell ref="W4:AA4"/>
    <mergeCell ref="Y3:AA3"/>
    <mergeCell ref="B37:U37"/>
    <mergeCell ref="B29:U29"/>
    <mergeCell ref="B21:U21"/>
    <mergeCell ref="B24:U24"/>
    <mergeCell ref="B25:U25"/>
    <mergeCell ref="B31:U31"/>
    <mergeCell ref="B34:U34"/>
    <mergeCell ref="B35:U35"/>
    <mergeCell ref="G68:U68"/>
    <mergeCell ref="Z1:AA1"/>
    <mergeCell ref="Z2:AA2"/>
    <mergeCell ref="A1:U1"/>
    <mergeCell ref="A6:U6"/>
    <mergeCell ref="A2:U2"/>
    <mergeCell ref="B9:U9"/>
    <mergeCell ref="B10:U10"/>
    <mergeCell ref="B7:U7"/>
    <mergeCell ref="B8:U8"/>
    <mergeCell ref="B11:U11"/>
    <mergeCell ref="B28:U28"/>
    <mergeCell ref="B26:U26"/>
    <mergeCell ref="A23:U23"/>
    <mergeCell ref="B12:U12"/>
    <mergeCell ref="B16:U16"/>
    <mergeCell ref="B27:U27"/>
    <mergeCell ref="B18:U18"/>
    <mergeCell ref="B19:U19"/>
    <mergeCell ref="B20:U20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7"/>
  <sheetViews>
    <sheetView showGridLines="0" zoomScalePageLayoutView="0" workbookViewId="0" topLeftCell="A1">
      <selection activeCell="AH4" sqref="AH4"/>
    </sheetView>
  </sheetViews>
  <sheetFormatPr defaultColWidth="9.140625" defaultRowHeight="12.75"/>
  <cols>
    <col min="1" max="20" width="2.7109375" style="3" customWidth="1"/>
    <col min="21" max="21" width="2.8515625" style="3" customWidth="1"/>
    <col min="22" max="22" width="10.7109375" style="3" customWidth="1"/>
    <col min="23" max="35" width="2.7109375" style="3" customWidth="1"/>
    <col min="36" max="36" width="3.140625" style="3" customWidth="1"/>
    <col min="37" max="41" width="2.7109375" style="3" customWidth="1"/>
    <col min="42" max="42" width="10.00390625" style="3" customWidth="1"/>
    <col min="43" max="43" width="10.7109375" style="3" customWidth="1"/>
    <col min="44" max="16384" width="9.140625" style="3" customWidth="1"/>
  </cols>
  <sheetData>
    <row r="1" spans="1:43" ht="12.75" customHeight="1">
      <c r="A1" s="263"/>
      <c r="B1" s="263"/>
      <c r="C1" s="263"/>
      <c r="D1" s="263"/>
      <c r="E1" s="263"/>
      <c r="F1" s="263"/>
      <c r="G1" s="263"/>
      <c r="H1" s="263"/>
      <c r="I1" s="263"/>
      <c r="J1" s="252" t="s">
        <v>98</v>
      </c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4"/>
    </row>
    <row r="2" spans="1:43" ht="14.25" customHeight="1">
      <c r="A2" s="263"/>
      <c r="B2" s="263"/>
      <c r="C2" s="263"/>
      <c r="D2" s="263"/>
      <c r="E2" s="263"/>
      <c r="F2" s="263"/>
      <c r="G2" s="263"/>
      <c r="H2" s="263"/>
      <c r="I2" s="263"/>
      <c r="J2" s="255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7"/>
    </row>
    <row r="3" spans="1:43" ht="10.5" customHeight="1">
      <c r="A3" s="263"/>
      <c r="B3" s="263"/>
      <c r="C3" s="263"/>
      <c r="D3" s="263"/>
      <c r="E3" s="263"/>
      <c r="F3" s="263"/>
      <c r="G3" s="263"/>
      <c r="H3" s="263"/>
      <c r="I3" s="263"/>
      <c r="J3" s="258" t="s">
        <v>99</v>
      </c>
      <c r="K3" s="259"/>
      <c r="L3" s="259"/>
      <c r="M3" s="259"/>
      <c r="N3" s="259"/>
      <c r="O3" s="259"/>
      <c r="P3" s="259"/>
      <c r="Q3" s="259"/>
      <c r="R3" s="259"/>
      <c r="S3" s="259"/>
      <c r="T3" s="262" t="str">
        <f>IF($AH$4="",".....................................................................",IF('Registro de dados e movimentos'!A2="Insira aqui o nome da Obra Unida","Falta nome da Obra na planilha de Registro",'Registro de dados e movimentos'!A2))</f>
        <v>.....................................................................</v>
      </c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6" t="str">
        <f>IF(AH4&gt;12,"Anual","MÊS:")</f>
        <v>MÊS:</v>
      </c>
      <c r="AG3" s="266"/>
      <c r="AH3" s="25"/>
      <c r="AI3" s="264" t="str">
        <f>IF(AH4="","....................................",HLOOKUP($AH$4,Tabela_Anual,2,FALSE))</f>
        <v>....................................</v>
      </c>
      <c r="AJ3" s="264"/>
      <c r="AK3" s="264"/>
      <c r="AL3" s="264"/>
      <c r="AM3" s="264"/>
      <c r="AN3" s="264"/>
      <c r="AO3" s="264"/>
      <c r="AP3" s="266" t="s">
        <v>19</v>
      </c>
      <c r="AQ3" s="268" t="str">
        <f>IF($AH$4="","................",'Registro de dados e movimentos'!Y2)</f>
        <v>................</v>
      </c>
    </row>
    <row r="4" spans="1:43" ht="12.75" customHeight="1">
      <c r="A4" s="263"/>
      <c r="B4" s="263"/>
      <c r="C4" s="263"/>
      <c r="D4" s="263"/>
      <c r="E4" s="263"/>
      <c r="F4" s="263"/>
      <c r="G4" s="263"/>
      <c r="H4" s="263"/>
      <c r="I4" s="263"/>
      <c r="J4" s="260"/>
      <c r="K4" s="261"/>
      <c r="L4" s="261"/>
      <c r="M4" s="261"/>
      <c r="N4" s="261"/>
      <c r="O4" s="261"/>
      <c r="P4" s="261"/>
      <c r="Q4" s="261"/>
      <c r="R4" s="261"/>
      <c r="S4" s="261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7"/>
      <c r="AG4" s="267"/>
      <c r="AH4" s="36"/>
      <c r="AI4" s="265"/>
      <c r="AJ4" s="265"/>
      <c r="AK4" s="265"/>
      <c r="AL4" s="265"/>
      <c r="AM4" s="265"/>
      <c r="AN4" s="265"/>
      <c r="AO4" s="265"/>
      <c r="AP4" s="267"/>
      <c r="AQ4" s="269"/>
    </row>
    <row r="5" spans="1:43" ht="9.75" customHeight="1">
      <c r="A5" s="263"/>
      <c r="B5" s="263"/>
      <c r="C5" s="263"/>
      <c r="D5" s="263"/>
      <c r="E5" s="263"/>
      <c r="F5" s="263"/>
      <c r="G5" s="263"/>
      <c r="H5" s="263"/>
      <c r="I5" s="263"/>
      <c r="J5" s="277" t="s">
        <v>100</v>
      </c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0" t="str">
        <f>IF($AH$4="","...........................................................................",'Registro de dados e movimentos'!X2)</f>
        <v>...........................................................................</v>
      </c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 t="s">
        <v>17</v>
      </c>
      <c r="AI5" s="270"/>
      <c r="AJ5" s="270"/>
      <c r="AK5" s="270"/>
      <c r="AL5" s="270"/>
      <c r="AM5" s="271" t="str">
        <f>IF($AH$4="","...............................",'Registro de dados e movimentos'!V2)</f>
        <v>...............................</v>
      </c>
      <c r="AN5" s="271"/>
      <c r="AO5" s="271"/>
      <c r="AP5" s="271"/>
      <c r="AQ5" s="26"/>
    </row>
    <row r="6" spans="1:43" ht="13.5" customHeight="1">
      <c r="A6" s="263"/>
      <c r="B6" s="263"/>
      <c r="C6" s="263"/>
      <c r="D6" s="263"/>
      <c r="E6" s="263"/>
      <c r="F6" s="263"/>
      <c r="G6" s="263"/>
      <c r="H6" s="263"/>
      <c r="I6" s="263"/>
      <c r="J6" s="277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1"/>
      <c r="AN6" s="271"/>
      <c r="AO6" s="271"/>
      <c r="AP6" s="271"/>
      <c r="AQ6" s="108"/>
    </row>
    <row r="7" spans="1:43" ht="8.25" customHeight="1">
      <c r="A7" s="263"/>
      <c r="B7" s="263"/>
      <c r="C7" s="263"/>
      <c r="D7" s="263"/>
      <c r="E7" s="263"/>
      <c r="F7" s="263"/>
      <c r="G7" s="263"/>
      <c r="H7" s="263"/>
      <c r="I7" s="263"/>
      <c r="J7" s="274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6"/>
    </row>
    <row r="8" spans="1:43" ht="12.75" customHeight="1">
      <c r="A8" s="263"/>
      <c r="B8" s="263"/>
      <c r="C8" s="263"/>
      <c r="D8" s="263"/>
      <c r="E8" s="263"/>
      <c r="F8" s="263"/>
      <c r="G8" s="263"/>
      <c r="H8" s="263"/>
      <c r="I8" s="263"/>
      <c r="J8" s="279" t="s">
        <v>168</v>
      </c>
      <c r="K8" s="279"/>
      <c r="L8" s="279"/>
      <c r="M8" s="279"/>
      <c r="N8" s="279"/>
      <c r="O8" s="279"/>
      <c r="P8" s="251">
        <f>IF($AH$4="","",'Registro de dados e movimentos'!Z2)</f>
      </c>
      <c r="Q8" s="251"/>
      <c r="R8" s="251"/>
      <c r="S8" s="251"/>
      <c r="T8" s="251"/>
      <c r="U8" s="251"/>
      <c r="V8" s="251"/>
      <c r="W8" s="251"/>
      <c r="X8" s="280" t="s">
        <v>167</v>
      </c>
      <c r="Y8" s="280"/>
      <c r="Z8" s="280"/>
      <c r="AA8" s="280"/>
      <c r="AB8" s="280"/>
      <c r="AC8" s="209">
        <f>IF(SUM(AH8,AM8)=0,"",SUM(AH8,AM8))</f>
      </c>
      <c r="AD8" s="209"/>
      <c r="AE8" s="210" t="s">
        <v>102</v>
      </c>
      <c r="AF8" s="210"/>
      <c r="AG8" s="210"/>
      <c r="AH8" s="209">
        <f>IF($AH$4="","",HLOOKUP($AH$4,Tabela2,16,FALSE))</f>
      </c>
      <c r="AI8" s="209"/>
      <c r="AJ8" s="210" t="s">
        <v>103</v>
      </c>
      <c r="AK8" s="210"/>
      <c r="AL8" s="210"/>
      <c r="AM8" s="211">
        <f>IF($AH$4="","",HLOOKUP($AH$4,Tabela2,17,FALSE))</f>
      </c>
      <c r="AN8" s="211"/>
      <c r="AO8" s="210" t="s">
        <v>104</v>
      </c>
      <c r="AP8" s="210"/>
      <c r="AQ8" s="272">
        <f>IF($AH$4="","",HLOOKUP($AH$4,Tabela2,18,FALSE))</f>
      </c>
    </row>
    <row r="9" spans="1:43" ht="15" customHeight="1">
      <c r="A9" s="263"/>
      <c r="B9" s="263"/>
      <c r="C9" s="263"/>
      <c r="D9" s="263"/>
      <c r="E9" s="263"/>
      <c r="F9" s="263"/>
      <c r="G9" s="263"/>
      <c r="H9" s="263"/>
      <c r="I9" s="263"/>
      <c r="J9" s="279"/>
      <c r="K9" s="279"/>
      <c r="L9" s="279"/>
      <c r="M9" s="279"/>
      <c r="N9" s="279"/>
      <c r="O9" s="279"/>
      <c r="P9" s="251"/>
      <c r="Q9" s="251"/>
      <c r="R9" s="251"/>
      <c r="S9" s="251"/>
      <c r="T9" s="251"/>
      <c r="U9" s="251"/>
      <c r="V9" s="251"/>
      <c r="W9" s="251"/>
      <c r="X9" s="280"/>
      <c r="Y9" s="280"/>
      <c r="Z9" s="280"/>
      <c r="AA9" s="280"/>
      <c r="AB9" s="280"/>
      <c r="AC9" s="209"/>
      <c r="AD9" s="209"/>
      <c r="AE9" s="210"/>
      <c r="AF9" s="210"/>
      <c r="AG9" s="210"/>
      <c r="AH9" s="209"/>
      <c r="AI9" s="209"/>
      <c r="AJ9" s="210"/>
      <c r="AK9" s="210"/>
      <c r="AL9" s="210"/>
      <c r="AM9" s="211"/>
      <c r="AN9" s="211"/>
      <c r="AO9" s="210"/>
      <c r="AP9" s="210"/>
      <c r="AQ9" s="273"/>
    </row>
    <row r="10" spans="1:43" ht="11.2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2.75">
      <c r="A11" s="195" t="s">
        <v>105</v>
      </c>
      <c r="B11" s="195"/>
      <c r="C11" s="195"/>
      <c r="D11" s="195"/>
      <c r="E11" s="195"/>
      <c r="F11" s="195"/>
      <c r="G11" s="195"/>
      <c r="H11" s="195"/>
      <c r="I11" s="247">
        <f>IF($AH$4="","",HLOOKUP($AH$4,Tabela2,19,FALSE))</f>
      </c>
      <c r="J11" s="247"/>
      <c r="K11" s="248" t="s">
        <v>106</v>
      </c>
      <c r="L11" s="248"/>
      <c r="M11" s="248"/>
      <c r="N11" s="248"/>
      <c r="O11" s="248"/>
      <c r="P11" s="248"/>
      <c r="Q11" s="248"/>
      <c r="R11" s="249">
        <f>IF($AH$4="","",HLOOKUP($AH$4,Tabela2,20,FALSE))</f>
      </c>
      <c r="S11" s="250"/>
      <c r="T11" s="195" t="s">
        <v>107</v>
      </c>
      <c r="U11" s="195"/>
      <c r="V11" s="195"/>
      <c r="W11" s="195"/>
      <c r="X11" s="196">
        <f>IF($AH$4="","",IF('Registro de dados e movimentos'!X3="","........",'Registro de dados e movimentos'!X3))</f>
      </c>
      <c r="Y11" s="196"/>
      <c r="Z11" s="195" t="s">
        <v>108</v>
      </c>
      <c r="AA11" s="195"/>
      <c r="AB11" s="195"/>
      <c r="AC11" s="195"/>
      <c r="AD11" s="195"/>
      <c r="AE11" s="188">
        <f>IF($AH$4="","",'Registro de dados e movimentos'!W2)</f>
      </c>
      <c r="AF11" s="188"/>
      <c r="AG11" s="188"/>
      <c r="AH11" s="188"/>
      <c r="AI11" s="188"/>
      <c r="AJ11" s="195" t="s">
        <v>109</v>
      </c>
      <c r="AK11" s="195"/>
      <c r="AL11" s="195"/>
      <c r="AM11" s="196">
        <f>IF($AH$4="","",IF('Registro de dados e movimentos'!W4="","...............................................................",'Registro de dados e movimentos'!W4))</f>
      </c>
      <c r="AN11" s="196"/>
      <c r="AO11" s="196"/>
      <c r="AP11" s="196"/>
      <c r="AQ11" s="196"/>
    </row>
    <row r="12" spans="1:43" ht="7.5" customHeight="1">
      <c r="A12" s="29"/>
      <c r="B12" s="2"/>
      <c r="C12" s="2"/>
      <c r="D12" s="2"/>
      <c r="E12" s="2"/>
      <c r="F12" s="2"/>
      <c r="G12" s="2"/>
      <c r="H12" s="2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"/>
      <c r="X12" s="2"/>
      <c r="Y12" s="2"/>
      <c r="Z12" s="2"/>
      <c r="AA12" s="2"/>
      <c r="AB12" s="2"/>
      <c r="AC12" s="2"/>
      <c r="AD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4.25" customHeight="1">
      <c r="A13" s="244" t="s">
        <v>110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6"/>
    </row>
    <row r="14" spans="1:43" ht="14.25" customHeight="1">
      <c r="A14" s="129" t="s">
        <v>5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9" t="s">
        <v>32</v>
      </c>
      <c r="W14" s="129" t="s">
        <v>8</v>
      </c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5" t="s">
        <v>32</v>
      </c>
    </row>
    <row r="15" spans="1:43" ht="16.5" customHeight="1">
      <c r="A15" s="63" t="s">
        <v>46</v>
      </c>
      <c r="B15" s="199" t="str">
        <f>IF('Registro de dados e movimentos'!B7="","",'Registro de dados e movimentos'!B7)</f>
        <v>Coletas/Subscritores e Benfeitores/Contribuições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200"/>
      <c r="V15" s="10">
        <f>IF($AH$4="","",IF(HLOOKUP($AH$4,Tabela_Anual,3,FALSE)="","",HLOOKUP($AH$4,Tabela_Anual,3,FALSE)))</f>
      </c>
      <c r="W15" s="64" t="s">
        <v>51</v>
      </c>
      <c r="X15" s="191" t="str">
        <f>IF('Registro de dados e movimentos'!B24="","",'Registro de dados e movimentos'!B24)</f>
        <v>Despesas Administrativas e de Funcionamento da Obra Unida</v>
      </c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2"/>
      <c r="AQ15" s="10">
        <f>IF($AH$4="","",IF(HLOOKUP($AH$4,Tabela_Anual,20,FALSE)="","",HLOOKUP($AH$4,Tabela_Anual,20,FALSE)))</f>
      </c>
    </row>
    <row r="16" spans="1:43" ht="16.5" customHeight="1">
      <c r="A16" s="64" t="s">
        <v>47</v>
      </c>
      <c r="B16" s="199" t="str">
        <f>IF('Registro de dados e movimentos'!B8="","",'Registro de dados e movimentos'!B8)</f>
        <v>Convênios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200"/>
      <c r="V16" s="10">
        <f>IF($AH$4="","",IF(HLOOKUP($AH$4,Tabela_Anual,4,FALSE)="","",HLOOKUP($AH$4,Tabela_Anual,4,FALSE)))</f>
      </c>
      <c r="W16" s="37" t="s">
        <v>52</v>
      </c>
      <c r="X16" s="191" t="str">
        <f>IF('Registro de dados e movimentos'!B25="","",'Registro de dados e movimentos'!B25)</f>
        <v>Despesas com Pessoal e Encargos Sociais</v>
      </c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2"/>
      <c r="AQ16" s="10">
        <f>IF($AH$4="","",IF(HLOOKUP($AH$4,Tabela_Anual,21,FALSE)="","",HLOOKUP($AH$4,Tabela_Anual,21,FALSE)))</f>
      </c>
    </row>
    <row r="17" spans="1:43" ht="16.5" customHeight="1">
      <c r="A17" s="64" t="s">
        <v>39</v>
      </c>
      <c r="B17" s="199" t="str">
        <f>IF('Registro de dados e movimentos'!B9="","",'Registro de dados e movimentos'!B9)</f>
        <v>Doações Recebidas e Contribuições dos usuários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200"/>
      <c r="V17" s="10">
        <f>IF($AH$4="","",IF(HLOOKUP($AH$4,Tabela_Anual,5,FALSE)="","",HLOOKUP($AH$4,Tabela_Anual,5,FALSE)))</f>
      </c>
      <c r="W17" s="37" t="s">
        <v>18</v>
      </c>
      <c r="X17" s="191" t="str">
        <f>IF('Registro de dados e movimentos'!B26="","",'Registro de dados e movimentos'!B26)</f>
        <v>Despesas com Água, Energia e Telefone</v>
      </c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2"/>
      <c r="AQ17" s="10">
        <f>IF($AH$4="","",IF(HLOOKUP($AH$4,Tabela_Anual,22,FALSE)="","",HLOOKUP($AH$4,Tabela_Anual,22,FALSE)))</f>
      </c>
    </row>
    <row r="18" spans="1:43" ht="16.5" customHeight="1">
      <c r="A18" s="37" t="s">
        <v>40</v>
      </c>
      <c r="B18" s="199" t="str">
        <f>IF('Registro de dados e movimentos'!B10="","",'Registro de dados e movimentos'!B10)</f>
        <v>Receitas Líquidas com Eventos (Rifa, Bazar, almoços etc.)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200"/>
      <c r="V18" s="10">
        <f>IF($AH$4="","",IF(HLOOKUP($AH$4,Tabela_Anual,6,FALSE)="","",HLOOKUP($AH$4,Tabela_Anual,6,FALSE)))</f>
      </c>
      <c r="W18" s="37" t="s">
        <v>53</v>
      </c>
      <c r="X18" s="191" t="str">
        <f>IF('Registro de dados e movimentos'!B27="","",'Registro de dados e movimentos'!B27)</f>
        <v>Despesas com alimentação</v>
      </c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2"/>
      <c r="AQ18" s="10">
        <f>IF($AH$4="","",IF(HLOOKUP($AH$4,Tabela_Anual,23,FALSE)="","",HLOOKUP($AH$4,Tabela_Anual,23,FALSE)))</f>
      </c>
    </row>
    <row r="19" spans="1:43" ht="16.5" customHeight="1">
      <c r="A19" s="37" t="s">
        <v>41</v>
      </c>
      <c r="B19" s="199" t="str">
        <f>IF('Registro de dados e movimentos'!B11="","",'Registro de dados e movimentos'!B11)</f>
        <v>Outras Receitas Sujeitas a Duocentésima e Meia                                                                                                                                                         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00"/>
      <c r="V19" s="10">
        <f>IF($AH$4="","",IF(HLOOKUP($AH$4,Tabela_Anual,7,FALSE)="","",HLOOKUP($AH$4,Tabela_Anual,7,FALSE)))</f>
      </c>
      <c r="W19" s="37" t="s">
        <v>54</v>
      </c>
      <c r="X19" s="191" t="str">
        <f>IF('Registro de dados e movimentos'!B28="","",'Registro de dados e movimentos'!B28)</f>
        <v>Despesas com Medicamentos e Hospitalares</v>
      </c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2"/>
      <c r="AQ19" s="10">
        <f>IF($AH$4="","",IF(HLOOKUP($AH$4,Tabela_Anual,24,FALSE)="","",HLOOKUP($AH$4,Tabela_Anual,24,FALSE)))</f>
      </c>
    </row>
    <row r="20" spans="1:43" ht="16.5" customHeight="1">
      <c r="A20" s="42" t="s">
        <v>42</v>
      </c>
      <c r="B20" s="207" t="str">
        <f>IF('Registro de dados e movimentos'!B12="","",'Registro de dados e movimentos'!B12)</f>
        <v>Subtotal (Valor de cálculo da Duocentésima e Meia) 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8"/>
      <c r="V20" s="78">
        <f>IF(SUM(V15:V19)=0,"",SUM(V15:V19))</f>
      </c>
      <c r="W20" s="37" t="s">
        <v>6</v>
      </c>
      <c r="X20" s="191">
        <f>IF('Registro de dados e movimentos'!B29="","",'Registro de dados e movimentos'!B29)</f>
      </c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2"/>
      <c r="AQ20" s="10">
        <f>IF($AH$4="","",IF(HLOOKUP($AH$4,Tabela_Anual,25,FALSE)="","",HLOOKUP($AH$4,Tabela_Anual,25,FALSE)))</f>
      </c>
    </row>
    <row r="21" spans="1:43" ht="16.5" customHeight="1">
      <c r="A21" s="37" t="s">
        <v>43</v>
      </c>
      <c r="B21" s="199" t="str">
        <f>IF('Registro de dados e movimentos'!B13="","",'Registro de dados e movimentos'!B13)</f>
        <v>Subvenções Oficiais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200"/>
      <c r="V21" s="12">
        <f>IF($AH$4="","",IF(HLOOKUP($AH$4,Tabela_Anual,9,FALSE)="","",HLOOKUP($AH$4,Tabela_Anual,9,FALSE)))</f>
      </c>
      <c r="W21" s="37" t="s">
        <v>7</v>
      </c>
      <c r="X21" s="191">
        <f>IF('Registro de dados e movimentos'!B30="","",'Registro de dados e movimentos'!B30)</f>
      </c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2"/>
      <c r="AQ21" s="10">
        <f>IF($AH$4="","",IF(HLOOKUP($AH$4,Tabela_Anual,26,FALSE)="","",HLOOKUP($AH$4,Tabela_Anual,26,FALSE)))</f>
      </c>
    </row>
    <row r="22" spans="1:43" ht="16.5" customHeight="1">
      <c r="A22" s="37" t="s">
        <v>44</v>
      </c>
      <c r="B22" s="199" t="str">
        <f>IF('Registro de dados e movimentos'!B14="","",'Registro de dados e movimentos'!B14)</f>
        <v>Convênios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00"/>
      <c r="V22" s="12">
        <f>IF($AH$4="","",IF(HLOOKUP($AH$4,Tabela_Anual,10,FALSE)="","",HLOOKUP($AH$4,Tabela_Anual,10,FALSE)))</f>
      </c>
      <c r="W22" s="37" t="s">
        <v>38</v>
      </c>
      <c r="X22" s="191" t="str">
        <f>IF('Registro de dados e movimentos'!B31="","",'Registro de dados e movimentos'!B31)</f>
        <v>Duocentésima e Meia paga ao CC referente ao mês anterior ou anteriores</v>
      </c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2"/>
      <c r="AQ22" s="10">
        <f>IF($AH$4="","",IF(HLOOKUP($AH$4,Tabela_Anual,27,FALSE)="","",HLOOKUP($AH$4,Tabela_Anual,27,FALSE)))</f>
      </c>
    </row>
    <row r="23" spans="1:43" ht="16.5" customHeight="1">
      <c r="A23" s="37" t="s">
        <v>45</v>
      </c>
      <c r="B23" s="197" t="str">
        <f>IF('Registro de dados e movimentos'!B15="","",'Registro de dados e movimentos'!B15)</f>
        <v>União Fraternal  (Contribuições Recebidas de Unidades Vicentinas)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8"/>
      <c r="V23" s="12">
        <f>IF($AH$4="","",IF(HLOOKUP($AH$4,Tabela_Anual,11,FALSE)="","",HLOOKUP($AH$4,Tabela_Anual,11,FALSE)))</f>
      </c>
      <c r="W23" s="65" t="s">
        <v>55</v>
      </c>
      <c r="X23" s="189" t="str">
        <f>IF('Registro de dados e movimentos'!B32="","",'Registro de dados e movimentos'!B32)</f>
        <v>Duocentésima e Meia a ser repassada no próximo mês ao CC</v>
      </c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90"/>
      <c r="AQ23" s="13">
        <f>IF($AH$4="","",IF(HLOOKUP($AH$4,Tabela_Anual,28,FALSE)="","",HLOOKUP($AH$4,Tabela_Anual,28,FALSE)))</f>
      </c>
    </row>
    <row r="24" spans="1:43" ht="14.25" customHeight="1">
      <c r="A24" s="38" t="s">
        <v>1</v>
      </c>
      <c r="B24" s="199">
        <f>IF('Registro de dados e movimentos'!B16="","",'Registro de dados e movimentos'!B16)</f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200"/>
      <c r="V24" s="12">
        <f>IF($AH$4="","",IF(HLOOKUP($AH$4,Tabela_Anual,12,FALSE)="","",HLOOKUP($AH$4,Tabela_Anual,12,FALSE)))</f>
      </c>
      <c r="W24" s="64" t="s">
        <v>56</v>
      </c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2"/>
      <c r="AQ24" s="10">
        <f>IF($AH$4="","",IF(HLOOKUP($AH$4,Tabela_Anual,29,FALSE)="","",HLOOKUP($AH$4,Tabela_Anual,29,FALSE)))</f>
      </c>
    </row>
    <row r="25" spans="1:43" ht="15" customHeight="1">
      <c r="A25" s="38" t="s">
        <v>2</v>
      </c>
      <c r="B25" s="199">
        <f>IF('Registro de dados e movimentos'!B17="","",'Registro de dados e movimentos'!B17)</f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200"/>
      <c r="V25" s="12">
        <f>IF($AH$4="","",IF(HLOOKUP($AH$4,Tabela_Anual,13,FALSE)="","",HLOOKUP($AH$4,Tabela_Anual,13,FALSE)))</f>
      </c>
      <c r="W25" s="64" t="str">
        <f>'Registro de dados e movimentos'!A34</f>
        <v>26.</v>
      </c>
      <c r="X25" s="191">
        <f>IF('Registro de dados e movimentos'!B34="","",'Registro de dados e movimentos'!B34)</f>
      </c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2"/>
      <c r="AQ25" s="10">
        <f>IF($AH$4="","",IF(HLOOKUP($AH$4,Tabela_Anual,30,FALSE)="","",HLOOKUP($AH$4,Tabela_Anual,30,FALSE)))</f>
      </c>
    </row>
    <row r="26" spans="1:43" ht="16.5" customHeight="1">
      <c r="A26" s="37" t="s">
        <v>48</v>
      </c>
      <c r="B26" s="199" t="str">
        <f>IF('Registro de dados e movimentos'!B18="","",'Registro de dados e movimentos'!B18)</f>
        <v>Recebimentos para Repasses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200"/>
      <c r="V26" s="12">
        <f>IF($AH$4="","",IF(HLOOKUP($AH$4,Tabela_Anual,14,FALSE)="","",HLOOKUP($AH$4,Tabela_Anual,14,FALSE)))</f>
      </c>
      <c r="W26" s="64" t="s">
        <v>50</v>
      </c>
      <c r="X26" s="191" t="str">
        <f>IF('Registro de dados e movimentos'!B35="","",'Registro de dados e movimentos'!B35)</f>
        <v>Repasses Referentes a linha 12</v>
      </c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2"/>
      <c r="AQ26" s="10">
        <f>IF($AH$4="","",IF(HLOOKUP($AH$4,Tabela_Anual,31,FALSE)="","",HLOOKUP($AH$4,Tabela_Anual,31,FALSE)))</f>
      </c>
    </row>
    <row r="27" spans="1:43" ht="16.5" customHeight="1">
      <c r="A27" s="65" t="s">
        <v>49</v>
      </c>
      <c r="B27" s="207" t="str">
        <f>IF('Registro de dados e movimentos'!B19="","",'Registro de dados e movimentos'!B19)</f>
        <v>Total dos Recebimentos (Somar da linha 06 a linha 12)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8"/>
      <c r="V27" s="13">
        <f>IF(SUM(V20:V26)=0,"",SUM(V20:V26))</f>
      </c>
      <c r="W27" s="65" t="s">
        <v>57</v>
      </c>
      <c r="X27" s="189" t="str">
        <f>IF('Registro de dados e movimentos'!B36="","",'Registro de dados e movimentos'!B36)</f>
        <v>Total dos Pagamentos (Somar da linha 16 a 23 e da 25 a 27)</v>
      </c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90"/>
      <c r="AQ27" s="10">
        <f>IF($AH$4="","",IF(HLOOKUP($AH$4,Tabela_Anual,32,FALSE)="","",HLOOKUP($AH$4,Tabela_Anual,32,FALSE)))</f>
      </c>
    </row>
    <row r="28" spans="1:43" ht="16.5" customHeight="1">
      <c r="A28" s="66" t="s">
        <v>60</v>
      </c>
      <c r="B28" s="207" t="str">
        <f>IF('Registro de dados e movimentos'!B20="","",'Registro de dados e movimentos'!B20)</f>
        <v>Saldo no início do mês (Igual ao Saldo final do mês anterior)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8"/>
      <c r="V28" s="13">
        <f>IF($AH$4="","",IF(HLOOKUP($AH$4,Tabela_Anual,16,FALSE)="","",HLOOKUP($AH$4,Tabela_Anual,16,FALSE)))</f>
      </c>
      <c r="W28" s="65" t="s">
        <v>58</v>
      </c>
      <c r="X28" s="189" t="str">
        <f>IF('Registro de dados e movimentos'!B37="","",'Registro de dados e movimentos'!B37)</f>
        <v>Saldo no final do mês (linha 15 - linha 28)</v>
      </c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90"/>
      <c r="AQ28" s="17">
        <f>IF($AH$4="","",IF(HLOOKUP($AH$4,Tabela_Anual,33,FALSE)="","",HLOOKUP($AH$4,Tabela_Anual,33,FALSE)))</f>
      </c>
    </row>
    <row r="29" spans="1:43" ht="14.25" customHeight="1">
      <c r="A29" s="67" t="s">
        <v>61</v>
      </c>
      <c r="B29" s="193" t="str">
        <f>IF('Registro de dados e movimentos'!B21="","",'Registro de dados e movimentos'!B21)</f>
        <v>Total Recebimentos + Saldo início do mês (linha 13 + linha 14)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4"/>
      <c r="V29" s="14">
        <f>IF(SUM(V27:V28)=0,"",SUM(V27:V28))</f>
      </c>
      <c r="W29" s="67" t="s">
        <v>59</v>
      </c>
      <c r="X29" s="193" t="str">
        <f>IF('Registro de dados e movimentos'!B38="","",'Registro de dados e movimentos'!B38)</f>
        <v>Total dos Pagamentos + Saldo Final do mês (Somar linha 28 + linha 29)</v>
      </c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4"/>
      <c r="AQ29" s="18">
        <f>IF(SUM(AQ27:AQ28)=0,"",SUM(AQ27:AQ28))</f>
      </c>
    </row>
    <row r="30" spans="1:43" ht="4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2"/>
    </row>
    <row r="31" spans="1:43" ht="16.5" customHeight="1">
      <c r="A31" s="204" t="s">
        <v>9</v>
      </c>
      <c r="B31" s="205"/>
      <c r="C31" s="205"/>
      <c r="D31" s="205"/>
      <c r="E31" s="205"/>
      <c r="F31" s="205"/>
      <c r="G31" s="206"/>
      <c r="H31" s="213">
        <f>IF('Registro de dados e movimentos'!G61=0,"",'Registro de dados e movimentos'!G61)</f>
      </c>
      <c r="I31" s="214"/>
      <c r="J31" s="214"/>
      <c r="K31" s="214"/>
      <c r="L31" s="215"/>
      <c r="M31" s="219">
        <f>IF('Registro de dados e movimentos'!G62=0,"",'Registro de dados e movimentos'!G62)</f>
      </c>
      <c r="N31" s="220"/>
      <c r="O31" s="220"/>
      <c r="P31" s="220"/>
      <c r="Q31" s="220"/>
      <c r="R31" s="221"/>
      <c r="S31" s="219">
        <f>IF('Registro de dados e movimentos'!G63=0,"",'Registro de dados e movimentos'!G63)</f>
      </c>
      <c r="T31" s="220"/>
      <c r="U31" s="220"/>
      <c r="V31" s="221"/>
      <c r="W31" s="219">
        <f>IF('Registro de dados e movimentos'!G64=0,"",'Registro de dados e movimentos'!G64)</f>
      </c>
      <c r="X31" s="220"/>
      <c r="Y31" s="220"/>
      <c r="Z31" s="220"/>
      <c r="AA31" s="220"/>
      <c r="AB31" s="220"/>
      <c r="AC31" s="220"/>
      <c r="AD31" s="220"/>
      <c r="AE31" s="221"/>
      <c r="AF31" s="238">
        <f>IF('Registro de dados e movimentos'!G65=0,"",'Registro de dados e movimentos'!G65)</f>
      </c>
      <c r="AG31" s="239"/>
      <c r="AH31" s="239"/>
      <c r="AI31" s="239"/>
      <c r="AJ31" s="239"/>
      <c r="AK31" s="239"/>
      <c r="AL31" s="239"/>
      <c r="AM31" s="239"/>
      <c r="AN31" s="240"/>
      <c r="AO31" s="238">
        <f>IF('Registro de dados e movimentos'!G66=0,"",'Registro de dados e movimentos'!G66)</f>
      </c>
      <c r="AP31" s="239"/>
      <c r="AQ31" s="240"/>
    </row>
    <row r="32" spans="1:43" ht="15.75" customHeight="1">
      <c r="A32" s="95" t="s">
        <v>163</v>
      </c>
      <c r="B32" s="96"/>
      <c r="C32" s="96"/>
      <c r="D32" s="96"/>
      <c r="E32" s="96"/>
      <c r="F32" s="97"/>
      <c r="G32" s="98"/>
      <c r="H32" s="216"/>
      <c r="I32" s="217"/>
      <c r="J32" s="217"/>
      <c r="K32" s="217"/>
      <c r="L32" s="218"/>
      <c r="M32" s="222"/>
      <c r="N32" s="223"/>
      <c r="O32" s="223"/>
      <c r="P32" s="223"/>
      <c r="Q32" s="223"/>
      <c r="R32" s="224"/>
      <c r="S32" s="222"/>
      <c r="T32" s="223"/>
      <c r="U32" s="223"/>
      <c r="V32" s="224"/>
      <c r="W32" s="222"/>
      <c r="X32" s="223"/>
      <c r="Y32" s="223"/>
      <c r="Z32" s="223"/>
      <c r="AA32" s="223"/>
      <c r="AB32" s="223"/>
      <c r="AC32" s="223"/>
      <c r="AD32" s="223"/>
      <c r="AE32" s="224"/>
      <c r="AF32" s="241"/>
      <c r="AG32" s="242"/>
      <c r="AH32" s="242"/>
      <c r="AI32" s="242"/>
      <c r="AJ32" s="242"/>
      <c r="AK32" s="242"/>
      <c r="AL32" s="242"/>
      <c r="AM32" s="242"/>
      <c r="AN32" s="243"/>
      <c r="AO32" s="241"/>
      <c r="AP32" s="242"/>
      <c r="AQ32" s="243"/>
    </row>
    <row r="33" spans="1:43" ht="15.75" customHeight="1">
      <c r="A33" s="201">
        <f>IF($AH$4="","",IF(HLOOKUP($AH$4,Tabela2,21,FALSE)=0,"",HLOOKUP($AH$4,Tabela2,21,FALSE)))</f>
      </c>
      <c r="B33" s="202"/>
      <c r="C33" s="202"/>
      <c r="D33" s="202"/>
      <c r="E33" s="202"/>
      <c r="F33" s="202"/>
      <c r="G33" s="203"/>
      <c r="H33" s="201">
        <f>IF($AH$4="","",IF(HLOOKUP($AH$4,Tabela2,22,FALSE)=0,"",HLOOKUP($AH$4,Tabela2,22,FALSE)))</f>
      </c>
      <c r="I33" s="202"/>
      <c r="J33" s="202"/>
      <c r="K33" s="202"/>
      <c r="L33" s="203"/>
      <c r="M33" s="201">
        <f>IF($AH$4="","",IF(HLOOKUP($AH$4,Tabela2,23,FALSE)=0,"",HLOOKUP($AH$4,Tabela2,23,FALSE)))</f>
      </c>
      <c r="N33" s="202"/>
      <c r="O33" s="202"/>
      <c r="P33" s="202"/>
      <c r="Q33" s="202"/>
      <c r="R33" s="203"/>
      <c r="S33" s="201">
        <f>IF($AH$4="","",IF(HLOOKUP($AH$4,Tabela2,24,FALSE)=0,"",HLOOKUP($AH$4,Tabela2,24,FALSE)))</f>
      </c>
      <c r="T33" s="202"/>
      <c r="U33" s="202"/>
      <c r="V33" s="203"/>
      <c r="W33" s="235">
        <f>IF($AH$4="","",IF(HLOOKUP($AH$4,Tabela2,25,FALSE)=0,"",HLOOKUP($AH$4,Tabela2,25,FALSE)))</f>
      </c>
      <c r="X33" s="236"/>
      <c r="Y33" s="236"/>
      <c r="Z33" s="236"/>
      <c r="AA33" s="236"/>
      <c r="AB33" s="236"/>
      <c r="AC33" s="236"/>
      <c r="AD33" s="236"/>
      <c r="AE33" s="237"/>
      <c r="AF33" s="203">
        <f>IF($AH$4="","",IF(HLOOKUP($AH$4,Tabela2,26,FALSE)=0,"",HLOOKUP($AH$4,Tabela2,26,FALSE)))</f>
      </c>
      <c r="AG33" s="225"/>
      <c r="AH33" s="225"/>
      <c r="AI33" s="225"/>
      <c r="AJ33" s="225"/>
      <c r="AK33" s="225"/>
      <c r="AL33" s="225"/>
      <c r="AM33" s="225"/>
      <c r="AN33" s="225"/>
      <c r="AO33" s="235">
        <f>IF($AH$4="","",IF(HLOOKUP($AH$4,Tabela2,27,FALSE)=0,"",HLOOKUP($AH$4,Tabela2,27,FALSE)))</f>
      </c>
      <c r="AP33" s="236"/>
      <c r="AQ33" s="237"/>
    </row>
    <row r="34" spans="1:43" ht="16.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232" t="s">
        <v>0</v>
      </c>
      <c r="AI34" s="233"/>
      <c r="AJ34" s="233"/>
      <c r="AK34" s="233"/>
      <c r="AL34" s="233"/>
      <c r="AM34" s="233"/>
      <c r="AN34" s="233"/>
      <c r="AO34" s="233"/>
      <c r="AP34" s="233"/>
      <c r="AQ34" s="234"/>
    </row>
    <row r="35" spans="1:43" ht="16.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226" t="s">
        <v>80</v>
      </c>
      <c r="AI35" s="227"/>
      <c r="AJ35" s="227"/>
      <c r="AK35" s="227"/>
      <c r="AL35" s="227"/>
      <c r="AM35" s="227"/>
      <c r="AN35" s="227"/>
      <c r="AO35" s="227"/>
      <c r="AP35" s="227"/>
      <c r="AQ35" s="228"/>
    </row>
    <row r="36" spans="1:43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5"/>
      <c r="X36" s="35"/>
      <c r="Y36" s="35"/>
      <c r="Z36" s="35"/>
      <c r="AA36" s="35"/>
      <c r="AB36" s="35"/>
      <c r="AC36" s="35"/>
      <c r="AD36" s="33"/>
      <c r="AE36" s="33"/>
      <c r="AF36" s="33"/>
      <c r="AG36" s="33"/>
      <c r="AH36" s="226"/>
      <c r="AI36" s="227"/>
      <c r="AJ36" s="227"/>
      <c r="AK36" s="227"/>
      <c r="AL36" s="227"/>
      <c r="AM36" s="227"/>
      <c r="AN36" s="227"/>
      <c r="AO36" s="227"/>
      <c r="AP36" s="227"/>
      <c r="AQ36" s="228"/>
    </row>
    <row r="37" spans="1:43" ht="16.5" customHeight="1">
      <c r="A37" s="212" t="s">
        <v>111</v>
      </c>
      <c r="B37" s="212"/>
      <c r="C37" s="212"/>
      <c r="D37" s="212"/>
      <c r="E37" s="212"/>
      <c r="F37" s="212"/>
      <c r="G37" s="212"/>
      <c r="H37" s="212"/>
      <c r="I37" s="212"/>
      <c r="J37" s="212"/>
      <c r="K37" s="33"/>
      <c r="L37" s="212" t="s">
        <v>112</v>
      </c>
      <c r="M37" s="212"/>
      <c r="N37" s="212"/>
      <c r="O37" s="212"/>
      <c r="P37" s="212"/>
      <c r="Q37" s="212"/>
      <c r="R37" s="212"/>
      <c r="S37" s="212"/>
      <c r="T37" s="212"/>
      <c r="U37" s="212"/>
      <c r="V37" s="33"/>
      <c r="W37" s="212" t="s">
        <v>113</v>
      </c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29"/>
      <c r="AI37" s="230"/>
      <c r="AJ37" s="230"/>
      <c r="AK37" s="230"/>
      <c r="AL37" s="230"/>
      <c r="AM37" s="230"/>
      <c r="AN37" s="230"/>
      <c r="AO37" s="230"/>
      <c r="AP37" s="230"/>
      <c r="AQ37" s="231"/>
    </row>
  </sheetData>
  <sheetProtection password="D0B7" sheet="1" objects="1" scenarios="1" formatCells="0" formatColumns="0" formatRows="0"/>
  <mergeCells count="85">
    <mergeCell ref="AH5:AL6"/>
    <mergeCell ref="AM5:AP6"/>
    <mergeCell ref="AO8:AP9"/>
    <mergeCell ref="AQ8:AQ9"/>
    <mergeCell ref="A1:I9"/>
    <mergeCell ref="J7:AQ7"/>
    <mergeCell ref="U5:AG6"/>
    <mergeCell ref="J5:T6"/>
    <mergeCell ref="J8:O9"/>
    <mergeCell ref="X8:AB9"/>
    <mergeCell ref="P8:W9"/>
    <mergeCell ref="AE8:AG9"/>
    <mergeCell ref="J1:AQ2"/>
    <mergeCell ref="J3:S4"/>
    <mergeCell ref="T3:AE4"/>
    <mergeCell ref="AI3:AO4"/>
    <mergeCell ref="AF3:AG4"/>
    <mergeCell ref="AP3:AP4"/>
    <mergeCell ref="AQ3:AQ4"/>
    <mergeCell ref="AH8:AI9"/>
    <mergeCell ref="A13:AQ13"/>
    <mergeCell ref="Z11:AD11"/>
    <mergeCell ref="X17:AP17"/>
    <mergeCell ref="W14:AP14"/>
    <mergeCell ref="B15:U15"/>
    <mergeCell ref="A14:U14"/>
    <mergeCell ref="A11:H11"/>
    <mergeCell ref="I11:J11"/>
    <mergeCell ref="K11:Q11"/>
    <mergeCell ref="R11:S11"/>
    <mergeCell ref="B19:U19"/>
    <mergeCell ref="X15:AP15"/>
    <mergeCell ref="X18:AP18"/>
    <mergeCell ref="X19:AP19"/>
    <mergeCell ref="B16:U16"/>
    <mergeCell ref="B17:U17"/>
    <mergeCell ref="B18:U18"/>
    <mergeCell ref="AH35:AQ37"/>
    <mergeCell ref="AH34:AQ34"/>
    <mergeCell ref="AO33:AQ33"/>
    <mergeCell ref="X25:AP25"/>
    <mergeCell ref="AF31:AN32"/>
    <mergeCell ref="AO31:AQ32"/>
    <mergeCell ref="W31:AE32"/>
    <mergeCell ref="W33:AE33"/>
    <mergeCell ref="B27:U27"/>
    <mergeCell ref="X27:AP27"/>
    <mergeCell ref="A37:J37"/>
    <mergeCell ref="L37:U37"/>
    <mergeCell ref="B29:U29"/>
    <mergeCell ref="H31:L32"/>
    <mergeCell ref="M31:R32"/>
    <mergeCell ref="S31:V32"/>
    <mergeCell ref="W37:AG37"/>
    <mergeCell ref="AF33:AN33"/>
    <mergeCell ref="AC8:AD9"/>
    <mergeCell ref="X23:AP23"/>
    <mergeCell ref="X24:AP24"/>
    <mergeCell ref="X26:AP26"/>
    <mergeCell ref="AJ8:AL9"/>
    <mergeCell ref="AM8:AN9"/>
    <mergeCell ref="AJ11:AL11"/>
    <mergeCell ref="AM11:AQ11"/>
    <mergeCell ref="X22:AP22"/>
    <mergeCell ref="X21:AP21"/>
    <mergeCell ref="S33:V33"/>
    <mergeCell ref="A31:G31"/>
    <mergeCell ref="A33:G33"/>
    <mergeCell ref="H33:L33"/>
    <mergeCell ref="M33:R33"/>
    <mergeCell ref="B20:U20"/>
    <mergeCell ref="B21:U21"/>
    <mergeCell ref="B28:U28"/>
    <mergeCell ref="B24:U24"/>
    <mergeCell ref="B22:U22"/>
    <mergeCell ref="AE11:AI11"/>
    <mergeCell ref="X28:AP28"/>
    <mergeCell ref="X20:AP20"/>
    <mergeCell ref="X16:AP16"/>
    <mergeCell ref="X29:AP29"/>
    <mergeCell ref="T11:W11"/>
    <mergeCell ref="X11:Y11"/>
    <mergeCell ref="B23:U23"/>
    <mergeCell ref="B25:U25"/>
    <mergeCell ref="B26:U26"/>
  </mergeCells>
  <conditionalFormatting sqref="V28:V29 AQ28:AQ29">
    <cfRule type="cellIs" priority="1" dxfId="1" operator="lessThan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GridLines="0" zoomScalePageLayoutView="0" workbookViewId="0" topLeftCell="A1">
      <selection activeCell="A29" sqref="A29:Y29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5.140625" style="0" customWidth="1"/>
    <col min="15" max="15" width="4.140625" style="0" customWidth="1"/>
    <col min="16" max="16" width="4.28125" style="0" customWidth="1"/>
    <col min="17" max="17" width="5.421875" style="0" customWidth="1"/>
    <col min="18" max="18" width="4.421875" style="0" customWidth="1"/>
    <col min="19" max="19" width="2.140625" style="0" customWidth="1"/>
    <col min="20" max="20" width="4.57421875" style="0" customWidth="1"/>
    <col min="21" max="21" width="8.57421875" style="0" customWidth="1"/>
    <col min="22" max="22" width="0.42578125" style="0" hidden="1" customWidth="1"/>
    <col min="23" max="23" width="4.00390625" style="0" hidden="1" customWidth="1"/>
    <col min="25" max="25" width="8.28125" style="0" customWidth="1"/>
    <col min="29" max="30" width="0" style="0" hidden="1" customWidth="1"/>
  </cols>
  <sheetData>
    <row r="1" spans="1:25" ht="12.75" customHeight="1">
      <c r="A1" s="330"/>
      <c r="B1" s="330"/>
      <c r="C1" s="330"/>
      <c r="D1" s="330"/>
      <c r="E1" s="330"/>
      <c r="F1" s="330"/>
      <c r="G1" s="330"/>
      <c r="H1" s="331"/>
      <c r="I1" s="336" t="s">
        <v>169</v>
      </c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25" ht="12.75" customHeight="1">
      <c r="A2" s="330"/>
      <c r="B2" s="330"/>
      <c r="C2" s="330"/>
      <c r="D2" s="330"/>
      <c r="E2" s="330"/>
      <c r="F2" s="330"/>
      <c r="G2" s="330"/>
      <c r="H2" s="331"/>
      <c r="I2" s="336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2.75" customHeight="1">
      <c r="A3" s="330"/>
      <c r="B3" s="330"/>
      <c r="C3" s="330"/>
      <c r="D3" s="330"/>
      <c r="E3" s="330"/>
      <c r="F3" s="330"/>
      <c r="G3" s="330"/>
      <c r="H3" s="331"/>
      <c r="I3" s="338" t="s">
        <v>81</v>
      </c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</row>
    <row r="4" spans="1:25" ht="12.75" customHeight="1">
      <c r="A4" s="330"/>
      <c r="B4" s="330"/>
      <c r="C4" s="330"/>
      <c r="D4" s="330"/>
      <c r="E4" s="330"/>
      <c r="F4" s="330"/>
      <c r="G4" s="330"/>
      <c r="H4" s="331"/>
      <c r="I4" s="338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</row>
    <row r="5" spans="1:25" ht="14.25" customHeight="1">
      <c r="A5" s="330"/>
      <c r="B5" s="330"/>
      <c r="C5" s="330"/>
      <c r="D5" s="330"/>
      <c r="E5" s="330"/>
      <c r="F5" s="330"/>
      <c r="G5" s="330"/>
      <c r="H5" s="331"/>
      <c r="I5" s="338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</row>
    <row r="6" spans="1:30" ht="18.75" customHeight="1">
      <c r="A6" s="330"/>
      <c r="B6" s="330"/>
      <c r="C6" s="330"/>
      <c r="D6" s="330"/>
      <c r="E6" s="330"/>
      <c r="F6" s="330"/>
      <c r="G6" s="330"/>
      <c r="H6" s="331"/>
      <c r="I6" s="340" t="s">
        <v>115</v>
      </c>
      <c r="J6" s="341"/>
      <c r="K6" s="341"/>
      <c r="L6" s="341"/>
      <c r="M6" s="341"/>
      <c r="N6" s="313">
        <f>IF('Impressão Frente automatico'!AH4="","",IF('Impressão Frente automatico'!T3="","",'Impressão Frente automatico'!T3))</f>
      </c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AC6" s="119" t="s">
        <v>20</v>
      </c>
      <c r="AD6" s="119" t="s">
        <v>174</v>
      </c>
    </row>
    <row r="7" spans="1:30" ht="12.75">
      <c r="A7" s="330"/>
      <c r="B7" s="330"/>
      <c r="C7" s="330"/>
      <c r="D7" s="330"/>
      <c r="E7" s="330"/>
      <c r="F7" s="330"/>
      <c r="G7" s="330"/>
      <c r="H7" s="331"/>
      <c r="I7" s="314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AC7" s="119" t="s">
        <v>21</v>
      </c>
      <c r="AD7" s="119" t="s">
        <v>175</v>
      </c>
    </row>
    <row r="8" spans="1:30" ht="14.25" customHeight="1">
      <c r="A8" s="330"/>
      <c r="B8" s="330"/>
      <c r="C8" s="330"/>
      <c r="D8" s="330"/>
      <c r="E8" s="330"/>
      <c r="F8" s="330"/>
      <c r="G8" s="330"/>
      <c r="H8" s="331"/>
      <c r="I8" s="316" t="s">
        <v>82</v>
      </c>
      <c r="J8" s="317"/>
      <c r="K8" s="317"/>
      <c r="L8" s="317"/>
      <c r="M8" s="317"/>
      <c r="N8" s="317"/>
      <c r="O8" s="288" t="str">
        <f>IF('Impressão Frente automatico'!AH4=13,"","MÊS:")</f>
        <v>MÊS:</v>
      </c>
      <c r="P8" s="288"/>
      <c r="Q8" s="292">
        <f>IF('Impressão Frente automatico'!AH4="","",IF('Impressão Frente automatico'!AH4=13,"Balanço",HLOOKUP('Impressão Frente automatico'!AH4,Tabela2,29)))</f>
      </c>
      <c r="R8" s="292"/>
      <c r="S8" s="292"/>
      <c r="T8" s="292"/>
      <c r="U8" s="292"/>
      <c r="V8" s="110"/>
      <c r="W8" s="110"/>
      <c r="X8" s="107" t="s">
        <v>10</v>
      </c>
      <c r="Y8" s="109">
        <f>IF('Impressão Frente automatico'!AH4="","",IF(Q8="janeiro",SUM('Registro de dados e movimentos'!Y2+1),'Registro de dados e movimentos'!Y2))</f>
      </c>
      <c r="AC8" s="119" t="s">
        <v>22</v>
      </c>
      <c r="AD8" s="119" t="s">
        <v>176</v>
      </c>
    </row>
    <row r="9" spans="1:30" ht="14.25" customHeight="1">
      <c r="A9" s="1"/>
      <c r="B9" s="1"/>
      <c r="C9" s="1"/>
      <c r="D9" s="1"/>
      <c r="E9" s="1"/>
      <c r="F9" s="1"/>
      <c r="G9" s="1"/>
      <c r="H9" s="1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AC9" s="119" t="s">
        <v>23</v>
      </c>
      <c r="AD9" s="119" t="s">
        <v>177</v>
      </c>
    </row>
    <row r="10" spans="1:30" ht="12.75">
      <c r="A10" s="248" t="s">
        <v>116</v>
      </c>
      <c r="B10" s="248"/>
      <c r="C10" s="248"/>
      <c r="D10" s="248"/>
      <c r="E10" s="248"/>
      <c r="F10" s="248"/>
      <c r="G10" s="248"/>
      <c r="H10" s="289">
        <f>IF('Impressão Frente automatico'!AH4="","",IF('Impressão Frente automatico'!AC8="","",'Impressão Frente automatico'!AC8))</f>
      </c>
      <c r="I10" s="289"/>
      <c r="J10" s="195" t="s">
        <v>102</v>
      </c>
      <c r="K10" s="195"/>
      <c r="L10" s="195"/>
      <c r="M10" s="290">
        <f>IF('Impressão Frente automatico'!AH4="","",IF('Impressão Frente automatico'!AH8="","",'Impressão Frente automatico'!AH8))</f>
      </c>
      <c r="N10" s="290"/>
      <c r="O10" s="291" t="s">
        <v>103</v>
      </c>
      <c r="P10" s="291"/>
      <c r="Q10" s="82">
        <f>IF('Impressão Frente automatico'!AH4="","",IF('Impressão Frente automatico'!AM8="","",'Impressão Frente automatico'!AM8))</f>
      </c>
      <c r="R10" s="248" t="s">
        <v>104</v>
      </c>
      <c r="S10" s="248"/>
      <c r="T10" s="248"/>
      <c r="U10" s="284">
        <f>IF('Impressão Frente automatico'!AH4="","",IF('Impressão Frente automatico'!AQ8="","",'Impressão Frente automatico'!AQ8))</f>
      </c>
      <c r="V10" s="284"/>
      <c r="W10" s="284"/>
      <c r="X10" s="284"/>
      <c r="Y10" s="284"/>
      <c r="AC10" s="119" t="s">
        <v>24</v>
      </c>
      <c r="AD10" s="119" t="s">
        <v>178</v>
      </c>
    </row>
    <row r="11" spans="1:30" ht="13.5" thickBot="1">
      <c r="A11" s="332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4"/>
      <c r="AC11" s="119" t="s">
        <v>25</v>
      </c>
      <c r="AD11" s="119" t="s">
        <v>179</v>
      </c>
    </row>
    <row r="12" spans="1:30" ht="17.25" customHeight="1" thickBot="1">
      <c r="A12" s="293" t="s">
        <v>85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AC12" s="119" t="s">
        <v>26</v>
      </c>
      <c r="AD12" s="119" t="s">
        <v>180</v>
      </c>
    </row>
    <row r="13" spans="1:30" ht="17.25" customHeight="1" thickBot="1">
      <c r="A13" s="294" t="s">
        <v>11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 t="s">
        <v>12</v>
      </c>
      <c r="R13" s="294"/>
      <c r="S13" s="294"/>
      <c r="T13" s="294"/>
      <c r="U13" s="294"/>
      <c r="V13" s="294"/>
      <c r="W13" s="294"/>
      <c r="X13" s="294" t="s">
        <v>13</v>
      </c>
      <c r="Y13" s="294"/>
      <c r="AC13" s="119" t="s">
        <v>27</v>
      </c>
      <c r="AD13" s="119" t="s">
        <v>181</v>
      </c>
    </row>
    <row r="14" spans="1:30" ht="18" customHeight="1">
      <c r="A14" s="328" t="s">
        <v>193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00">
        <f>IF('Impressão Frente automatico'!AI3="....................................","",'Impressão Frente automatico'!AI3)</f>
      </c>
      <c r="R14" s="301"/>
      <c r="S14" s="301"/>
      <c r="T14" s="301"/>
      <c r="U14" s="301"/>
      <c r="V14" s="2"/>
      <c r="W14" s="2"/>
      <c r="X14" s="299">
        <f>'Impressão Frente automatico'!AQ23</f>
      </c>
      <c r="Y14" s="299"/>
      <c r="AC14" s="119" t="s">
        <v>28</v>
      </c>
      <c r="AD14" s="119" t="s">
        <v>182</v>
      </c>
    </row>
    <row r="15" spans="1:30" ht="18" customHeight="1">
      <c r="A15" s="286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95">
        <f aca="true" t="shared" si="0" ref="Q15:Q21">IF(A15="","",$Q$14)</f>
      </c>
      <c r="R15" s="296"/>
      <c r="S15" s="296"/>
      <c r="T15" s="296"/>
      <c r="U15" s="296"/>
      <c r="V15" s="76"/>
      <c r="W15" s="77"/>
      <c r="X15" s="297"/>
      <c r="Y15" s="297"/>
      <c r="AC15" s="119" t="s">
        <v>29</v>
      </c>
      <c r="AD15" s="119" t="s">
        <v>183</v>
      </c>
    </row>
    <row r="16" spans="1:30" ht="18" customHeight="1">
      <c r="A16" s="286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95">
        <f t="shared" si="0"/>
      </c>
      <c r="R16" s="296"/>
      <c r="S16" s="296"/>
      <c r="T16" s="296"/>
      <c r="U16" s="296"/>
      <c r="V16" s="76"/>
      <c r="W16" s="77"/>
      <c r="X16" s="297"/>
      <c r="Y16" s="297"/>
      <c r="AC16" s="119"/>
      <c r="AD16" s="119"/>
    </row>
    <row r="17" spans="1:30" ht="18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98">
        <f t="shared" si="0"/>
      </c>
      <c r="R17" s="298"/>
      <c r="S17" s="298"/>
      <c r="T17" s="298"/>
      <c r="U17" s="298"/>
      <c r="V17" s="298"/>
      <c r="W17" s="298"/>
      <c r="X17" s="302"/>
      <c r="Y17" s="302"/>
      <c r="AC17" s="119" t="s">
        <v>30</v>
      </c>
      <c r="AD17" s="119" t="s">
        <v>184</v>
      </c>
    </row>
    <row r="18" spans="1:30" ht="18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4">
        <f t="shared" si="0"/>
      </c>
      <c r="R18" s="304"/>
      <c r="S18" s="304"/>
      <c r="T18" s="304"/>
      <c r="U18" s="304"/>
      <c r="V18" s="304"/>
      <c r="W18" s="304"/>
      <c r="X18" s="297"/>
      <c r="Y18" s="297"/>
      <c r="AC18" s="119" t="s">
        <v>31</v>
      </c>
      <c r="AD18" s="119" t="s">
        <v>185</v>
      </c>
    </row>
    <row r="19" spans="1:25" ht="18" customHeight="1">
      <c r="A19" s="327"/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298">
        <f t="shared" si="0"/>
      </c>
      <c r="R19" s="298"/>
      <c r="S19" s="298"/>
      <c r="T19" s="298"/>
      <c r="U19" s="298"/>
      <c r="V19" s="298"/>
      <c r="W19" s="298"/>
      <c r="X19" s="302"/>
      <c r="Y19" s="302"/>
    </row>
    <row r="20" spans="1:25" ht="18" customHeight="1">
      <c r="A20" s="303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4">
        <f t="shared" si="0"/>
      </c>
      <c r="R20" s="304"/>
      <c r="S20" s="304"/>
      <c r="T20" s="304"/>
      <c r="U20" s="304"/>
      <c r="V20" s="304"/>
      <c r="W20" s="304"/>
      <c r="X20" s="297"/>
      <c r="Y20" s="297"/>
    </row>
    <row r="21" spans="1:25" ht="18" customHeight="1" thickBo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1">
        <f t="shared" si="0"/>
      </c>
      <c r="R21" s="311"/>
      <c r="S21" s="311"/>
      <c r="T21" s="311"/>
      <c r="U21" s="311"/>
      <c r="V21" s="311"/>
      <c r="W21" s="311"/>
      <c r="X21" s="312"/>
      <c r="Y21" s="312"/>
    </row>
    <row r="22" spans="1:25" ht="18" customHeight="1" thickBot="1">
      <c r="A22" s="305" t="s">
        <v>83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9">
        <f>IF(SUM(X14:Y21)=0,"",SUM(X14:Y21))</f>
      </c>
      <c r="Y22" s="309"/>
    </row>
    <row r="23" ht="7.5" customHeight="1"/>
    <row r="24" spans="1:25" ht="18" customHeight="1">
      <c r="A24" s="306" t="s">
        <v>84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8"/>
    </row>
    <row r="25" spans="1:25" ht="18" customHeight="1">
      <c r="A25" s="281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3"/>
    </row>
    <row r="26" spans="1:25" ht="18" customHeight="1">
      <c r="A26" s="281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3"/>
    </row>
    <row r="27" spans="1:25" ht="18" customHeight="1">
      <c r="A27" s="281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3"/>
    </row>
    <row r="28" spans="1:25" ht="18" customHeight="1">
      <c r="A28" s="281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3"/>
    </row>
    <row r="29" spans="1:25" ht="18" customHeight="1">
      <c r="A29" s="281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3"/>
    </row>
    <row r="30" spans="1:25" ht="18" customHeight="1">
      <c r="A30" s="281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3"/>
    </row>
    <row r="31" spans="1:25" ht="15.75" customHeight="1">
      <c r="A31" s="281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3"/>
    </row>
    <row r="32" spans="1:25" ht="15.75" customHeight="1">
      <c r="A32" s="281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3"/>
    </row>
    <row r="33" spans="1:25" ht="15.75" customHeight="1">
      <c r="A33" s="281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3"/>
    </row>
    <row r="34" spans="1:25" ht="15.75" customHeight="1">
      <c r="A34" s="281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3"/>
    </row>
    <row r="35" spans="1:25" ht="15.75" customHeight="1">
      <c r="A35" s="281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3"/>
    </row>
    <row r="36" spans="1:25" ht="15.75" customHeight="1">
      <c r="A36" s="281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3"/>
    </row>
    <row r="37" spans="1:25" ht="15.75" customHeight="1">
      <c r="A37" s="281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3"/>
    </row>
    <row r="38" spans="1:25" ht="15.75" customHeight="1">
      <c r="A38" s="281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3"/>
    </row>
    <row r="39" spans="1:25" ht="15.75" customHeight="1">
      <c r="A39" s="281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3"/>
    </row>
    <row r="40" spans="1:25" ht="15.75" customHeight="1">
      <c r="A40" s="281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3"/>
    </row>
    <row r="41" spans="1:25" ht="15.75" customHeight="1">
      <c r="A41" s="281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3"/>
    </row>
    <row r="42" spans="1:25" ht="15.75" customHeight="1">
      <c r="A42" s="281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3"/>
    </row>
    <row r="43" spans="1:25" ht="15.75" customHeight="1">
      <c r="A43" s="281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3"/>
    </row>
    <row r="44" spans="1:25" ht="15.75" customHeight="1">
      <c r="A44" s="281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3"/>
    </row>
    <row r="45" spans="1:25" ht="18.75" customHeight="1">
      <c r="A45" s="324" t="s">
        <v>117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6"/>
    </row>
    <row r="46" spans="1:25" ht="22.5" customHeight="1">
      <c r="A46" s="318" t="s">
        <v>14</v>
      </c>
      <c r="B46" s="319"/>
      <c r="C46" s="320" t="s">
        <v>170</v>
      </c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2" t="s">
        <v>15</v>
      </c>
      <c r="Q46" s="322"/>
      <c r="R46" s="320" t="s">
        <v>171</v>
      </c>
      <c r="S46" s="320"/>
      <c r="T46" s="320"/>
      <c r="U46" s="320"/>
      <c r="V46" s="320"/>
      <c r="W46" s="320"/>
      <c r="X46" s="320"/>
      <c r="Y46" s="323"/>
    </row>
    <row r="47" spans="1:25" ht="7.5" customHeight="1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/>
    </row>
  </sheetData>
  <sheetProtection password="D0B7" sheet="1" objects="1" scenarios="1" formatCells="0" formatColumns="0" formatRows="0" insertColumns="0" insertRows="0" insertHyperlinks="0" deleteColumns="0" deleteRows="0" sort="0"/>
  <mergeCells count="75">
    <mergeCell ref="A19:P19"/>
    <mergeCell ref="Q19:W19"/>
    <mergeCell ref="A14:P14"/>
    <mergeCell ref="A1:H8"/>
    <mergeCell ref="A11:Y11"/>
    <mergeCell ref="I9:Y9"/>
    <mergeCell ref="I1:Y2"/>
    <mergeCell ref="I3:Y5"/>
    <mergeCell ref="I6:M6"/>
    <mergeCell ref="X20:Y20"/>
    <mergeCell ref="X21:Y21"/>
    <mergeCell ref="N6:Y6"/>
    <mergeCell ref="I7:Y7"/>
    <mergeCell ref="I8:N8"/>
    <mergeCell ref="A46:B46"/>
    <mergeCell ref="C46:O46"/>
    <mergeCell ref="P46:Q46"/>
    <mergeCell ref="R46:Y46"/>
    <mergeCell ref="A45:Y45"/>
    <mergeCell ref="A18:P18"/>
    <mergeCell ref="Q18:W18"/>
    <mergeCell ref="A22:P22"/>
    <mergeCell ref="Q22:W22"/>
    <mergeCell ref="A24:Y24"/>
    <mergeCell ref="X22:Y22"/>
    <mergeCell ref="A20:P20"/>
    <mergeCell ref="Q20:W20"/>
    <mergeCell ref="A21:P21"/>
    <mergeCell ref="Q21:W21"/>
    <mergeCell ref="Q17:W17"/>
    <mergeCell ref="X14:Y14"/>
    <mergeCell ref="X15:Y15"/>
    <mergeCell ref="Q14:U14"/>
    <mergeCell ref="Q15:U15"/>
    <mergeCell ref="X19:Y19"/>
    <mergeCell ref="X17:Y17"/>
    <mergeCell ref="X18:Y18"/>
    <mergeCell ref="A12:Y12"/>
    <mergeCell ref="X13:Y13"/>
    <mergeCell ref="A13:P13"/>
    <mergeCell ref="Q13:W13"/>
    <mergeCell ref="A16:P16"/>
    <mergeCell ref="Q16:U16"/>
    <mergeCell ref="X16:Y16"/>
    <mergeCell ref="O8:P8"/>
    <mergeCell ref="H10:I10"/>
    <mergeCell ref="J10:L10"/>
    <mergeCell ref="M10:N10"/>
    <mergeCell ref="O10:P10"/>
    <mergeCell ref="Q8:U8"/>
    <mergeCell ref="U10:Y10"/>
    <mergeCell ref="A26:Y26"/>
    <mergeCell ref="A25:Y25"/>
    <mergeCell ref="A27:Y27"/>
    <mergeCell ref="A28:Y28"/>
    <mergeCell ref="A29:Y29"/>
    <mergeCell ref="A17:P17"/>
    <mergeCell ref="R10:T10"/>
    <mergeCell ref="A15:P15"/>
    <mergeCell ref="A10:G10"/>
    <mergeCell ref="A30:Y30"/>
    <mergeCell ref="A31:Y31"/>
    <mergeCell ref="A32:Y32"/>
    <mergeCell ref="A33:Y33"/>
    <mergeCell ref="A34:Y34"/>
    <mergeCell ref="A35:Y35"/>
    <mergeCell ref="A42:Y42"/>
    <mergeCell ref="A43:Y43"/>
    <mergeCell ref="A44:Y44"/>
    <mergeCell ref="A36:Y36"/>
    <mergeCell ref="A37:Y37"/>
    <mergeCell ref="A38:Y38"/>
    <mergeCell ref="A39:Y39"/>
    <mergeCell ref="A40:Y40"/>
    <mergeCell ref="A41:Y41"/>
  </mergeCells>
  <printOptions/>
  <pageMargins left="0.4724409448818898" right="0.4330708661417323" top="0.7480314960629921" bottom="0.3937007874015748" header="0.31496062992125984" footer="0.31496062992125984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46">
      <selection activeCell="X8" sqref="X8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3.140625" style="0" customWidth="1"/>
    <col min="16" max="16" width="17.421875" style="0" customWidth="1"/>
    <col min="18" max="18" width="6.28125" style="0" customWidth="1"/>
    <col min="19" max="19" width="1.57421875" style="0" hidden="1" customWidth="1"/>
    <col min="20" max="20" width="0.42578125" style="0" hidden="1" customWidth="1"/>
    <col min="21" max="21" width="4.00390625" style="0" hidden="1" customWidth="1"/>
    <col min="23" max="23" width="7.28125" style="0" customWidth="1"/>
  </cols>
  <sheetData>
    <row r="1" spans="1:23" ht="12.75" customHeight="1">
      <c r="A1" s="330"/>
      <c r="B1" s="330"/>
      <c r="C1" s="330"/>
      <c r="D1" s="330"/>
      <c r="E1" s="330"/>
      <c r="F1" s="330"/>
      <c r="G1" s="330"/>
      <c r="H1" s="330"/>
      <c r="I1" s="330"/>
      <c r="J1" s="411" t="s">
        <v>128</v>
      </c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</row>
    <row r="2" spans="1:23" ht="12.75" customHeight="1">
      <c r="A2" s="330"/>
      <c r="B2" s="330"/>
      <c r="C2" s="330"/>
      <c r="D2" s="330"/>
      <c r="E2" s="330"/>
      <c r="F2" s="330"/>
      <c r="G2" s="330"/>
      <c r="H2" s="330"/>
      <c r="I2" s="330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</row>
    <row r="3" spans="1:23" ht="15">
      <c r="A3" s="330"/>
      <c r="B3" s="330"/>
      <c r="C3" s="330"/>
      <c r="D3" s="330"/>
      <c r="E3" s="330"/>
      <c r="F3" s="330"/>
      <c r="G3" s="330"/>
      <c r="H3" s="330"/>
      <c r="I3" s="330"/>
      <c r="J3" s="415" t="s">
        <v>172</v>
      </c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</row>
    <row r="4" spans="1:23" ht="7.5" customHeight="1">
      <c r="A4" s="330"/>
      <c r="B4" s="330"/>
      <c r="C4" s="330"/>
      <c r="D4" s="330"/>
      <c r="E4" s="330"/>
      <c r="F4" s="330"/>
      <c r="G4" s="330"/>
      <c r="H4" s="330"/>
      <c r="I4" s="330"/>
      <c r="J4" s="341" t="s">
        <v>99</v>
      </c>
      <c r="K4" s="341"/>
      <c r="L4" s="341"/>
      <c r="M4" s="341"/>
      <c r="N4" s="341"/>
      <c r="O4" s="341"/>
      <c r="P4" s="416"/>
      <c r="Q4" s="416"/>
      <c r="R4" s="416"/>
      <c r="S4" s="416"/>
      <c r="T4" s="416"/>
      <c r="U4" s="416"/>
      <c r="V4" s="416"/>
      <c r="W4" s="416"/>
    </row>
    <row r="5" spans="1:23" ht="15" customHeight="1">
      <c r="A5" s="330"/>
      <c r="B5" s="330"/>
      <c r="C5" s="330"/>
      <c r="D5" s="330"/>
      <c r="E5" s="330"/>
      <c r="F5" s="330"/>
      <c r="G5" s="330"/>
      <c r="H5" s="330"/>
      <c r="I5" s="330"/>
      <c r="J5" s="341"/>
      <c r="K5" s="341"/>
      <c r="L5" s="341"/>
      <c r="M5" s="341"/>
      <c r="N5" s="341"/>
      <c r="O5" s="341"/>
      <c r="P5" s="416"/>
      <c r="Q5" s="416"/>
      <c r="R5" s="416"/>
      <c r="S5" s="416"/>
      <c r="T5" s="416"/>
      <c r="U5" s="416"/>
      <c r="V5" s="416"/>
      <c r="W5" s="416"/>
    </row>
    <row r="6" spans="1:23" ht="11.25" customHeight="1">
      <c r="A6" s="330"/>
      <c r="B6" s="330"/>
      <c r="C6" s="330"/>
      <c r="D6" s="330"/>
      <c r="E6" s="330"/>
      <c r="F6" s="330"/>
      <c r="G6" s="330"/>
      <c r="H6" s="330"/>
      <c r="I6" s="330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</row>
    <row r="7" spans="1:23" ht="18.75" customHeight="1">
      <c r="A7" s="330"/>
      <c r="B7" s="330"/>
      <c r="C7" s="330"/>
      <c r="D7" s="330"/>
      <c r="E7" s="330"/>
      <c r="F7" s="330"/>
      <c r="G7" s="330"/>
      <c r="H7" s="330"/>
      <c r="I7" s="330"/>
      <c r="J7" s="417" t="s">
        <v>173</v>
      </c>
      <c r="K7" s="417"/>
      <c r="L7" s="417"/>
      <c r="M7" s="417"/>
      <c r="N7" s="417"/>
      <c r="O7" s="417"/>
      <c r="P7" s="279"/>
      <c r="Q7" s="279"/>
      <c r="R7" s="115" t="s">
        <v>10</v>
      </c>
      <c r="S7" s="116"/>
      <c r="T7" s="116"/>
      <c r="U7" s="116"/>
      <c r="V7" s="418"/>
      <c r="W7" s="418"/>
    </row>
    <row r="8" spans="1:23" ht="12.75">
      <c r="A8" s="330"/>
      <c r="B8" s="330"/>
      <c r="C8" s="330"/>
      <c r="D8" s="330"/>
      <c r="E8" s="330"/>
      <c r="F8" s="330"/>
      <c r="G8" s="330"/>
      <c r="H8" s="330"/>
      <c r="I8" s="330"/>
      <c r="J8" s="412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4"/>
    </row>
    <row r="9" spans="1:23" ht="12.75">
      <c r="A9" s="343"/>
      <c r="B9" s="343"/>
      <c r="C9" s="343"/>
      <c r="D9" s="343"/>
      <c r="E9" s="343"/>
      <c r="F9" s="343"/>
      <c r="G9" s="343"/>
      <c r="H9" s="343"/>
      <c r="I9" s="343"/>
      <c r="J9" s="342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4"/>
    </row>
    <row r="10" spans="1:23" ht="12.75">
      <c r="A10" s="345" t="s">
        <v>129</v>
      </c>
      <c r="B10" s="346"/>
      <c r="C10" s="346"/>
      <c r="D10" s="346"/>
      <c r="E10" s="347"/>
      <c r="F10" s="346"/>
      <c r="G10" s="346"/>
      <c r="H10" s="346"/>
      <c r="I10" s="346"/>
      <c r="J10" s="346"/>
      <c r="K10" s="346"/>
      <c r="L10" s="346"/>
      <c r="M10" s="345" t="s">
        <v>130</v>
      </c>
      <c r="N10" s="346"/>
      <c r="O10" s="346"/>
      <c r="P10" s="346"/>
      <c r="Q10" s="347"/>
      <c r="R10" s="348" t="s">
        <v>131</v>
      </c>
      <c r="S10" s="346"/>
      <c r="T10" s="346"/>
      <c r="U10" s="346"/>
      <c r="V10" s="346"/>
      <c r="W10" s="347"/>
    </row>
    <row r="11" spans="1:23" ht="7.5" customHeight="1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7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ht="18.75" customHeight="1">
      <c r="A12" s="345" t="s">
        <v>133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8" t="s">
        <v>134</v>
      </c>
      <c r="Q12" s="347"/>
      <c r="R12" s="348" t="s">
        <v>135</v>
      </c>
      <c r="S12" s="346"/>
      <c r="T12" s="346"/>
      <c r="U12" s="346"/>
      <c r="V12" s="346"/>
      <c r="W12" s="347"/>
    </row>
    <row r="13" spans="1:23" ht="18.75" customHeight="1">
      <c r="A13" s="345" t="s">
        <v>132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7"/>
    </row>
    <row r="14" spans="1:23" ht="7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ht="18.75" customHeight="1">
      <c r="A15" s="345" t="s">
        <v>136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7"/>
    </row>
    <row r="16" spans="1:23" ht="7.5" customHeight="1" thickBo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</row>
    <row r="17" spans="1:23" ht="16.5" thickBot="1">
      <c r="A17" s="349" t="s">
        <v>137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1"/>
    </row>
    <row r="18" spans="1:23" ht="13.5" thickBot="1">
      <c r="A18" s="352" t="s">
        <v>138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4"/>
      <c r="Q18" s="353" t="s">
        <v>139</v>
      </c>
      <c r="R18" s="353"/>
      <c r="S18" s="353"/>
      <c r="T18" s="353"/>
      <c r="U18" s="354"/>
      <c r="V18" s="352" t="s">
        <v>140</v>
      </c>
      <c r="W18" s="354"/>
    </row>
    <row r="19" spans="1:23" ht="14.25">
      <c r="A19" s="355" t="s">
        <v>141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7"/>
      <c r="Q19" s="358"/>
      <c r="R19" s="359"/>
      <c r="S19" s="359"/>
      <c r="T19" s="359"/>
      <c r="U19" s="360"/>
      <c r="V19" s="358"/>
      <c r="W19" s="361"/>
    </row>
    <row r="20" spans="1:23" ht="12.75">
      <c r="A20" s="362" t="s">
        <v>142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4"/>
      <c r="Q20" s="345"/>
      <c r="R20" s="365"/>
      <c r="S20" s="365"/>
      <c r="T20" s="346"/>
      <c r="U20" s="347"/>
      <c r="V20" s="345"/>
      <c r="W20" s="366"/>
    </row>
    <row r="21" spans="1:23" ht="14.25">
      <c r="A21" s="367" t="s">
        <v>143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9"/>
      <c r="Q21" s="358"/>
      <c r="R21" s="359"/>
      <c r="S21" s="359"/>
      <c r="T21" s="359"/>
      <c r="U21" s="360"/>
      <c r="V21" s="358"/>
      <c r="W21" s="361"/>
    </row>
    <row r="22" spans="1:23" ht="12.75">
      <c r="A22" s="370" t="s">
        <v>144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16"/>
      <c r="Q22" s="345"/>
      <c r="R22" s="365"/>
      <c r="S22" s="365"/>
      <c r="T22" s="346"/>
      <c r="U22" s="347"/>
      <c r="V22" s="345"/>
      <c r="W22" s="366"/>
    </row>
    <row r="23" spans="1:23" ht="14.25">
      <c r="A23" s="371" t="s">
        <v>145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3"/>
      <c r="Q23" s="358"/>
      <c r="R23" s="359"/>
      <c r="S23" s="359"/>
      <c r="T23" s="359"/>
      <c r="U23" s="360"/>
      <c r="V23" s="358"/>
      <c r="W23" s="361"/>
    </row>
    <row r="24" spans="1:23" ht="14.25">
      <c r="A24" s="371" t="s">
        <v>146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3"/>
      <c r="Q24" s="358"/>
      <c r="R24" s="359"/>
      <c r="S24" s="359"/>
      <c r="T24" s="359"/>
      <c r="U24" s="360"/>
      <c r="V24" s="358"/>
      <c r="W24" s="361"/>
    </row>
    <row r="25" spans="1:23" ht="12.75">
      <c r="A25" s="374" t="s">
        <v>147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7"/>
      <c r="Q25" s="345"/>
      <c r="R25" s="365"/>
      <c r="S25" s="365"/>
      <c r="T25" s="346"/>
      <c r="U25" s="347"/>
      <c r="V25" s="345"/>
      <c r="W25" s="366"/>
    </row>
    <row r="26" spans="1:23" ht="12.7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  <c r="Q26" s="84"/>
      <c r="R26" s="87"/>
      <c r="S26" s="87"/>
      <c r="T26" s="85"/>
      <c r="U26" s="86"/>
      <c r="V26" s="84"/>
      <c r="W26" s="90"/>
    </row>
    <row r="27" spans="1:23" ht="14.25">
      <c r="A27" s="362"/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4"/>
      <c r="Q27" s="358"/>
      <c r="R27" s="359"/>
      <c r="S27" s="359"/>
      <c r="T27" s="359"/>
      <c r="U27" s="360"/>
      <c r="V27" s="358"/>
      <c r="W27" s="361"/>
    </row>
    <row r="28" spans="1:23" ht="14.25">
      <c r="A28" s="371" t="s">
        <v>148</v>
      </c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3"/>
      <c r="Q28" s="358"/>
      <c r="R28" s="359"/>
      <c r="S28" s="359"/>
      <c r="T28" s="359"/>
      <c r="U28" s="360"/>
      <c r="V28" s="358"/>
      <c r="W28" s="361"/>
    </row>
    <row r="29" spans="1:23" ht="12.75">
      <c r="A29" s="375" t="s">
        <v>149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7"/>
      <c r="Q29" s="378"/>
      <c r="R29" s="379"/>
      <c r="S29" s="379"/>
      <c r="T29" s="380"/>
      <c r="U29" s="381"/>
      <c r="V29" s="378"/>
      <c r="W29" s="382"/>
    </row>
    <row r="30" spans="1:23" ht="14.25">
      <c r="A30" s="383" t="s">
        <v>150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3"/>
      <c r="Q30" s="345"/>
      <c r="R30" s="365"/>
      <c r="S30" s="365"/>
      <c r="T30" s="346"/>
      <c r="U30" s="347"/>
      <c r="V30" s="345"/>
      <c r="W30" s="366"/>
    </row>
    <row r="31" spans="1:23" ht="14.25">
      <c r="A31" s="371" t="s">
        <v>151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3"/>
      <c r="Q31" s="358"/>
      <c r="R31" s="359"/>
      <c r="S31" s="359"/>
      <c r="T31" s="359"/>
      <c r="U31" s="360"/>
      <c r="V31" s="358"/>
      <c r="W31" s="361"/>
    </row>
    <row r="32" spans="1:23" ht="12.75">
      <c r="A32" s="384" t="s">
        <v>152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85"/>
      <c r="Q32" s="345"/>
      <c r="R32" s="365"/>
      <c r="S32" s="365"/>
      <c r="T32" s="346"/>
      <c r="U32" s="347"/>
      <c r="V32" s="345"/>
      <c r="W32" s="366"/>
    </row>
    <row r="33" spans="1:23" ht="14.25">
      <c r="A33" s="91" t="s">
        <v>153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358"/>
      <c r="R33" s="359"/>
      <c r="S33" s="359"/>
      <c r="T33" s="359"/>
      <c r="U33" s="360"/>
      <c r="V33" s="358"/>
      <c r="W33" s="361"/>
    </row>
    <row r="34" spans="1:23" ht="14.25">
      <c r="A34" s="362" t="s">
        <v>154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4"/>
      <c r="Q34" s="358"/>
      <c r="R34" s="359"/>
      <c r="S34" s="359"/>
      <c r="T34" s="359"/>
      <c r="U34" s="360"/>
      <c r="V34" s="358"/>
      <c r="W34" s="361"/>
    </row>
    <row r="35" spans="1:23" ht="14.25">
      <c r="A35" s="371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7"/>
      <c r="Q35" s="358"/>
      <c r="R35" s="388"/>
      <c r="S35" s="388"/>
      <c r="T35" s="88"/>
      <c r="U35" s="89"/>
      <c r="V35" s="358"/>
      <c r="W35" s="389"/>
    </row>
    <row r="36" spans="1:23" ht="12.75">
      <c r="A36" s="370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16"/>
      <c r="Q36" s="345"/>
      <c r="R36" s="365"/>
      <c r="S36" s="365"/>
      <c r="T36" s="346"/>
      <c r="U36" s="347"/>
      <c r="V36" s="345"/>
      <c r="W36" s="366"/>
    </row>
    <row r="37" spans="1:23" ht="15" thickBot="1">
      <c r="A37" s="390"/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2"/>
      <c r="Q37" s="393"/>
      <c r="R37" s="391"/>
      <c r="S37" s="391"/>
      <c r="T37" s="391"/>
      <c r="U37" s="392"/>
      <c r="V37" s="393"/>
      <c r="W37" s="394"/>
    </row>
    <row r="38" spans="1:23" ht="14.25">
      <c r="A38" s="395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60"/>
      <c r="Q38" s="358"/>
      <c r="R38" s="359"/>
      <c r="S38" s="359"/>
      <c r="T38" s="359"/>
      <c r="U38" s="360"/>
      <c r="V38" s="358"/>
      <c r="W38" s="361"/>
    </row>
    <row r="39" spans="1:23" ht="12.75">
      <c r="A39" s="396" t="s">
        <v>155</v>
      </c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8"/>
      <c r="Q39" s="345"/>
      <c r="R39" s="365"/>
      <c r="S39" s="365"/>
      <c r="T39" s="346"/>
      <c r="U39" s="347"/>
      <c r="V39" s="345"/>
      <c r="W39" s="366"/>
    </row>
    <row r="40" spans="1:23" ht="14.25">
      <c r="A40" s="399" t="s">
        <v>156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1"/>
      <c r="Q40" s="358"/>
      <c r="R40" s="359"/>
      <c r="S40" s="359"/>
      <c r="T40" s="359"/>
      <c r="U40" s="360"/>
      <c r="V40" s="358"/>
      <c r="W40" s="361"/>
    </row>
    <row r="41" spans="1:23" ht="15" customHeight="1">
      <c r="A41" s="371" t="s">
        <v>157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3"/>
      <c r="Q41" s="358"/>
      <c r="R41" s="359"/>
      <c r="S41" s="359"/>
      <c r="T41" s="359"/>
      <c r="U41" s="360"/>
      <c r="V41" s="358"/>
      <c r="W41" s="361"/>
    </row>
    <row r="42" spans="1:23" ht="15" customHeight="1">
      <c r="A42" s="384" t="s">
        <v>158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85"/>
      <c r="Q42" s="378"/>
      <c r="R42" s="379"/>
      <c r="S42" s="379"/>
      <c r="T42" s="380"/>
      <c r="U42" s="381"/>
      <c r="V42" s="378"/>
      <c r="W42" s="382"/>
    </row>
    <row r="43" spans="1:23" ht="15" customHeight="1">
      <c r="A43" s="362" t="s">
        <v>159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4"/>
      <c r="Q43" s="345"/>
      <c r="R43" s="365"/>
      <c r="S43" s="365"/>
      <c r="T43" s="346"/>
      <c r="U43" s="347"/>
      <c r="V43" s="345"/>
      <c r="W43" s="366"/>
    </row>
    <row r="44" spans="1:23" ht="15" customHeight="1">
      <c r="A44" s="370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16"/>
      <c r="Q44" s="345"/>
      <c r="R44" s="365"/>
      <c r="S44" s="365"/>
      <c r="T44" s="346"/>
      <c r="U44" s="347"/>
      <c r="V44" s="345"/>
      <c r="W44" s="366"/>
    </row>
    <row r="45" spans="1:23" ht="15" customHeight="1">
      <c r="A45" s="395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60"/>
      <c r="Q45" s="358"/>
      <c r="R45" s="359"/>
      <c r="S45" s="359"/>
      <c r="T45" s="359"/>
      <c r="U45" s="360"/>
      <c r="V45" s="358"/>
      <c r="W45" s="361"/>
    </row>
    <row r="46" spans="1:23" ht="15" customHeight="1">
      <c r="A46" s="396" t="s">
        <v>160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16"/>
      <c r="Q46" s="345"/>
      <c r="R46" s="365"/>
      <c r="S46" s="365"/>
      <c r="T46" s="346"/>
      <c r="U46" s="347"/>
      <c r="V46" s="345"/>
      <c r="W46" s="366"/>
    </row>
    <row r="47" spans="1:23" ht="15" customHeight="1">
      <c r="A47" s="371" t="s">
        <v>161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3"/>
      <c r="Q47" s="358"/>
      <c r="R47" s="359"/>
      <c r="S47" s="359"/>
      <c r="T47" s="359"/>
      <c r="U47" s="360"/>
      <c r="V47" s="358"/>
      <c r="W47" s="361"/>
    </row>
    <row r="48" spans="1:23" ht="15" customHeight="1">
      <c r="A48" s="371" t="s">
        <v>162</v>
      </c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3"/>
      <c r="Q48" s="358"/>
      <c r="R48" s="359"/>
      <c r="S48" s="359"/>
      <c r="T48" s="359"/>
      <c r="U48" s="360"/>
      <c r="V48" s="358"/>
      <c r="W48" s="361"/>
    </row>
    <row r="49" spans="1:23" ht="15" customHeight="1">
      <c r="A49" s="371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7"/>
      <c r="Q49" s="358"/>
      <c r="R49" s="388"/>
      <c r="S49" s="388"/>
      <c r="T49" s="88"/>
      <c r="U49" s="89"/>
      <c r="V49" s="358"/>
      <c r="W49" s="389"/>
    </row>
    <row r="50" spans="1:23" ht="15" customHeight="1">
      <c r="A50" s="370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16"/>
      <c r="Q50" s="345"/>
      <c r="R50" s="365"/>
      <c r="S50" s="365"/>
      <c r="T50" s="346"/>
      <c r="U50" s="347"/>
      <c r="V50" s="345"/>
      <c r="W50" s="366"/>
    </row>
    <row r="51" spans="1:23" ht="15" customHeight="1" thickBot="1">
      <c r="A51" s="390"/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2"/>
      <c r="Q51" s="393"/>
      <c r="R51" s="391"/>
      <c r="S51" s="391"/>
      <c r="T51" s="391"/>
      <c r="U51" s="392"/>
      <c r="V51" s="393"/>
      <c r="W51" s="394"/>
    </row>
    <row r="52" spans="1:23" ht="15" customHeight="1">
      <c r="A52" s="402"/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4"/>
    </row>
    <row r="53" spans="1:23" ht="15" customHeight="1">
      <c r="A53" s="405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7"/>
    </row>
    <row r="54" spans="1:23" ht="15" customHeight="1">
      <c r="A54" s="405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7"/>
    </row>
    <row r="55" spans="1:23" ht="15" customHeight="1" thickBot="1">
      <c r="A55" s="408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10"/>
    </row>
  </sheetData>
  <sheetProtection/>
  <mergeCells count="123">
    <mergeCell ref="J1:W2"/>
    <mergeCell ref="J8:W8"/>
    <mergeCell ref="J3:W3"/>
    <mergeCell ref="J4:O5"/>
    <mergeCell ref="P4:W5"/>
    <mergeCell ref="J6:W6"/>
    <mergeCell ref="J7:O7"/>
    <mergeCell ref="P7:Q7"/>
    <mergeCell ref="V7:W7"/>
    <mergeCell ref="A52:W52"/>
    <mergeCell ref="A53:W53"/>
    <mergeCell ref="A54:W54"/>
    <mergeCell ref="A55:W55"/>
    <mergeCell ref="A50:P50"/>
    <mergeCell ref="Q50:U50"/>
    <mergeCell ref="V50:W50"/>
    <mergeCell ref="A51:P51"/>
    <mergeCell ref="Q51:U51"/>
    <mergeCell ref="V51:W51"/>
    <mergeCell ref="A48:P48"/>
    <mergeCell ref="Q48:U48"/>
    <mergeCell ref="V48:W48"/>
    <mergeCell ref="A49:P49"/>
    <mergeCell ref="Q49:S49"/>
    <mergeCell ref="V49:W49"/>
    <mergeCell ref="A46:P46"/>
    <mergeCell ref="Q46:U46"/>
    <mergeCell ref="V46:W46"/>
    <mergeCell ref="A47:P47"/>
    <mergeCell ref="Q47:U47"/>
    <mergeCell ref="V47:W47"/>
    <mergeCell ref="A44:P44"/>
    <mergeCell ref="Q44:U44"/>
    <mergeCell ref="V44:W44"/>
    <mergeCell ref="A45:P45"/>
    <mergeCell ref="Q45:U45"/>
    <mergeCell ref="V45:W45"/>
    <mergeCell ref="A42:P42"/>
    <mergeCell ref="Q42:U42"/>
    <mergeCell ref="V42:W42"/>
    <mergeCell ref="A43:P43"/>
    <mergeCell ref="Q43:U43"/>
    <mergeCell ref="V43:W43"/>
    <mergeCell ref="A40:P40"/>
    <mergeCell ref="Q40:U40"/>
    <mergeCell ref="V40:W40"/>
    <mergeCell ref="A41:P41"/>
    <mergeCell ref="Q41:U41"/>
    <mergeCell ref="V41:W41"/>
    <mergeCell ref="A38:P38"/>
    <mergeCell ref="Q38:U38"/>
    <mergeCell ref="V38:W38"/>
    <mergeCell ref="A39:P39"/>
    <mergeCell ref="Q39:U39"/>
    <mergeCell ref="V39:W39"/>
    <mergeCell ref="A36:P36"/>
    <mergeCell ref="Q36:U36"/>
    <mergeCell ref="V36:W36"/>
    <mergeCell ref="A37:P37"/>
    <mergeCell ref="Q37:U37"/>
    <mergeCell ref="V37:W37"/>
    <mergeCell ref="Q33:U33"/>
    <mergeCell ref="V33:W33"/>
    <mergeCell ref="A34:P34"/>
    <mergeCell ref="Q34:U34"/>
    <mergeCell ref="V34:W34"/>
    <mergeCell ref="A35:P35"/>
    <mergeCell ref="Q35:S35"/>
    <mergeCell ref="V35:W35"/>
    <mergeCell ref="A31:P31"/>
    <mergeCell ref="Q31:U31"/>
    <mergeCell ref="V31:W31"/>
    <mergeCell ref="A32:P32"/>
    <mergeCell ref="Q32:U32"/>
    <mergeCell ref="V32:W32"/>
    <mergeCell ref="A29:P29"/>
    <mergeCell ref="Q29:U29"/>
    <mergeCell ref="V29:W29"/>
    <mergeCell ref="A30:P30"/>
    <mergeCell ref="Q30:U30"/>
    <mergeCell ref="V30:W30"/>
    <mergeCell ref="A27:P27"/>
    <mergeCell ref="Q27:U27"/>
    <mergeCell ref="V27:W27"/>
    <mergeCell ref="A28:P28"/>
    <mergeCell ref="Q28:U28"/>
    <mergeCell ref="V28:W28"/>
    <mergeCell ref="A24:P24"/>
    <mergeCell ref="Q24:U24"/>
    <mergeCell ref="V24:W24"/>
    <mergeCell ref="A25:P25"/>
    <mergeCell ref="Q25:U25"/>
    <mergeCell ref="V25:W25"/>
    <mergeCell ref="A22:P22"/>
    <mergeCell ref="Q22:U22"/>
    <mergeCell ref="V22:W22"/>
    <mergeCell ref="A23:P23"/>
    <mergeCell ref="Q23:U23"/>
    <mergeCell ref="V23:W23"/>
    <mergeCell ref="A20:P20"/>
    <mergeCell ref="Q20:U20"/>
    <mergeCell ref="V20:W20"/>
    <mergeCell ref="A21:P21"/>
    <mergeCell ref="Q21:U21"/>
    <mergeCell ref="V21:W21"/>
    <mergeCell ref="A15:W15"/>
    <mergeCell ref="A17:W17"/>
    <mergeCell ref="A18:P18"/>
    <mergeCell ref="Q18:U18"/>
    <mergeCell ref="V18:W18"/>
    <mergeCell ref="A19:P19"/>
    <mergeCell ref="Q19:U19"/>
    <mergeCell ref="V19:W19"/>
    <mergeCell ref="J9:W9"/>
    <mergeCell ref="A10:E10"/>
    <mergeCell ref="F10:L10"/>
    <mergeCell ref="M10:Q10"/>
    <mergeCell ref="R10:W10"/>
    <mergeCell ref="A13:W13"/>
    <mergeCell ref="A12:O12"/>
    <mergeCell ref="P12:Q12"/>
    <mergeCell ref="R12:W12"/>
    <mergeCell ref="A1:I9"/>
  </mergeCells>
  <printOptions/>
  <pageMargins left="0.1968503937007874" right="0.1968503937007874" top="0.7086614173228347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</dc:creator>
  <cp:keywords/>
  <dc:description/>
  <cp:lastModifiedBy>Isabela</cp:lastModifiedBy>
  <cp:lastPrinted>2023-02-14T18:48:31Z</cp:lastPrinted>
  <dcterms:created xsi:type="dcterms:W3CDTF">2003-11-06T10:44:30Z</dcterms:created>
  <dcterms:modified xsi:type="dcterms:W3CDTF">2023-02-14T18:48:55Z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-1589341101</vt:i4>
  </property>
  <property fmtid="{D5CDD505-2E9C-101B-9397-08002B2CF9AE}" pid="3" name="_EmailSubject">
    <vt:lpwstr>Cristovão Gonçalves</vt:lpwstr>
  </property>
  <property fmtid="{D5CDD505-2E9C-101B-9397-08002B2CF9AE}" pid="4" name="_AuthorEmail">
    <vt:lpwstr>vitalpedriali@turbopro.com.br</vt:lpwstr>
  </property>
  <property fmtid="{D5CDD505-2E9C-101B-9397-08002B2CF9AE}" pid="5" name="_AuthorEmailDisplayName">
    <vt:lpwstr>VITAL</vt:lpwstr>
  </property>
  <property fmtid="{D5CDD505-2E9C-101B-9397-08002B2CF9AE}" pid="6" name="_ReviewingToolsShownOnce">
    <vt:lpwstr/>
  </property>
</Properties>
</file>